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'!$B$1:$J$507</definedName>
    <definedName name="_xlnm.Print_Area" localSheetId="2">'Sumarizácia '!$B$2:$L$43</definedName>
    <definedName name="_xlnm.Print_Area" localSheetId="1">'Výdavky'!$B$2:$S$1838</definedName>
  </definedNames>
  <calcPr fullCalcOnLoad="1"/>
</workbook>
</file>

<file path=xl/sharedStrings.xml><?xml version="1.0" encoding="utf-8"?>
<sst xmlns="http://schemas.openxmlformats.org/spreadsheetml/2006/main" count="3507" uniqueCount="592">
  <si>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</si>
  <si>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</si>
  <si>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</si>
  <si>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</si>
  <si>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</si>
  <si>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</si>
  <si>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</si>
  <si>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</si>
  <si>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</si>
  <si>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</si>
  <si>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</si>
  <si>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</si>
  <si>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</si>
  <si>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</si>
  <si>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</si>
  <si>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</si>
  <si>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</si>
  <si>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</si>
  <si>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</si>
  <si>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</si>
  <si>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</si>
  <si>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</si>
  <si>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</si>
  <si>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</si>
  <si>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</si>
  <si>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</si>
  <si>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</si>
  <si>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</si>
  <si>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</si>
  <si>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</si>
  <si>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</si>
  <si>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</si>
  <si>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</si>
  <si>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</si>
  <si>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</si>
  <si>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</si>
  <si>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</si>
  <si>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</si>
  <si>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</si>
  <si>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</si>
  <si>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</si>
  <si>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</si>
  <si>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</si>
  <si>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</si>
  <si>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</si>
  <si>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</si>
  <si>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</si>
  <si>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</si>
  <si>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</si>
  <si>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</si>
  <si>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</si>
  <si>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</si>
  <si>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</si>
  <si>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</si>
  <si>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</si>
  <si>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</si>
  <si>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</si>
  <si>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</si>
  <si>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</si>
  <si>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</si>
  <si>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</si>
  <si>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</si>
  <si>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</si>
  <si>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</si>
  <si>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</si>
  <si>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</si>
  <si>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</si>
  <si>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</si>
  <si>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</si>
  <si>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</si>
  <si>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</si>
  <si>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</si>
  <si>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</si>
  <si>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</si>
  <si>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</si>
  <si>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</si>
  <si>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</si>
  <si>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</si>
  <si>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</si>
  <si>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</si>
  <si>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</si>
  <si>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</si>
  <si>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</si>
  <si>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</si>
  <si>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</si>
  <si>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</si>
  <si>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</si>
  <si>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</si>
  <si>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</si>
  <si>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</si>
  <si>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</si>
  <si>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</si>
  <si>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</si>
  <si>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</si>
  <si>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</si>
  <si>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</si>
  <si>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</si>
  <si>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</si>
  <si>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</si>
  <si>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</si>
  <si>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</si>
  <si>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</si>
  <si>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</si>
  <si>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</si>
  <si>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</si>
  <si>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</si>
  <si>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</si>
  <si>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</si>
  <si>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</si>
  <si>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</si>
  <si>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</si>
  <si>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</si>
  <si>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</si>
  <si>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</si>
  <si>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</si>
  <si>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</si>
  <si>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</si>
  <si>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</si>
  <si>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</si>
  <si>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</si>
  <si>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</si>
  <si>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</si>
  <si>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</si>
  <si>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</si>
  <si>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</si>
  <si>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</si>
  <si>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</si>
  <si>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</si>
  <si>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</si>
  <si>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</si>
  <si>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</si>
  <si>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</si>
  <si>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</si>
  <si>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</si>
  <si>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</si>
  <si>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</si>
  <si>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</si>
  <si>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</si>
  <si>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</si>
  <si>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</si>
  <si>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</si>
  <si>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</si>
  <si>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</si>
  <si>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</si>
  <si>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</si>
  <si>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</si>
  <si>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</si>
  <si>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</si>
  <si>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</si>
  <si>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</si>
  <si>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</si>
  <si>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</si>
  <si>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</si>
  <si>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</si>
  <si>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</si>
  <si>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</si>
  <si>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</si>
  <si>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</si>
  <si>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</si>
  <si>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</si>
  <si>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</si>
  <si>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</si>
  <si>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</si>
  <si>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</si>
  <si>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</si>
  <si>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</si>
  <si>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</si>
  <si>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</si>
  <si>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</si>
  <si>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</si>
  <si>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</si>
  <si>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</si>
  <si>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</si>
  <si>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</si>
  <si>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</si>
  <si>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</si>
  <si>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</si>
  <si>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</si>
  <si>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</si>
  <si>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</si>
  <si>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</si>
  <si>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</si>
  <si>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</si>
  <si>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</si>
  <si>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</si>
  <si>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</si>
  <si>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</si>
  <si>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</si>
  <si>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</si>
  <si>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</si>
  <si>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</si>
  <si>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</si>
  <si>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</si>
  <si>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</si>
  <si>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</si>
  <si>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</si>
  <si>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</si>
  <si>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</si>
  <si>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</si>
  <si>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</si>
  <si>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</si>
  <si>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</si>
  <si>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</si>
  <si>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</si>
  <si>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</si>
  <si>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</si>
  <si>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</si>
  <si>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</si>
  <si>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</si>
  <si>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</si>
  <si>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</si>
  <si>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</si>
  <si>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</si>
  <si>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</si>
  <si>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</si>
  <si>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</si>
  <si>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</si>
  <si>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</si>
  <si>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</si>
  <si>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</si>
  <si>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</si>
  <si>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</si>
  <si>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</si>
  <si>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</si>
  <si>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</si>
  <si>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</si>
  <si>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</si>
  <si>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</si>
  <si>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</si>
  <si>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</si>
  <si>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</si>
  <si>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</si>
  <si>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</si>
  <si>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</si>
  <si>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</si>
  <si>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</si>
  <si>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</si>
  <si>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</si>
  <si>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</si>
  <si>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</si>
  <si>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</si>
  <si>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</si>
  <si>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</si>
  <si>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</si>
  <si>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</si>
  <si>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</si>
  <si>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</si>
  <si>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</si>
  <si>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</si>
  <si>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</si>
  <si>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</si>
  <si>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</si>
  <si>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</si>
  <si>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</si>
  <si>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</si>
  <si>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</si>
  <si>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</si>
  <si>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</si>
  <si>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</si>
  <si>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</si>
  <si>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</si>
  <si>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</si>
  <si>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</si>
  <si>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</si>
  <si>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</si>
  <si>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</si>
  <si>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</si>
  <si>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</si>
  <si>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</si>
  <si>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</si>
  <si>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</si>
  <si>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</si>
  <si>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</si>
  <si>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</si>
  <si>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</si>
  <si>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</si>
  <si>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</si>
  <si>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</si>
  <si>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</si>
  <si>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</si>
  <si>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</si>
  <si>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</si>
  <si>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</si>
  <si>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</si>
  <si>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</si>
  <si>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</si>
  <si>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</si>
  <si>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</si>
  <si>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</si>
  <si>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</si>
  <si>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</si>
  <si>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</si>
  <si>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</si>
  <si>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</si>
  <si>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</si>
  <si>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</si>
  <si>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</si>
  <si>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</si>
  <si>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</si>
  <si>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</si>
  <si>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</si>
  <si>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</si>
  <si>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</si>
  <si>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</si>
  <si>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</si>
  <si>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</si>
  <si>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</si>
  <si>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</si>
  <si>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</si>
  <si>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</si>
  <si>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</si>
  <si>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</si>
  <si>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</si>
  <si>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</si>
  <si>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</si>
  <si>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</si>
  <si>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</si>
  <si>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</si>
  <si>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</si>
  <si>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</si>
  <si>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</si>
  <si>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</si>
  <si>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</si>
  <si>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</si>
  <si>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</si>
  <si>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</si>
  <si>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</si>
  <si>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</si>
  <si>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</si>
  <si>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</si>
  <si>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</si>
  <si>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</si>
  <si>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</si>
  <si>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</si>
  <si>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</si>
  <si>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</si>
  <si>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</si>
  <si>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</si>
  <si>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</si>
  <si>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</si>
  <si>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</si>
  <si>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</si>
  <si>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</si>
  <si>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</si>
  <si>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</si>
  <si>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</si>
  <si>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</si>
  <si>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</si>
  <si>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</si>
  <si>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</si>
  <si>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</si>
  <si>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</si>
  <si>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</si>
  <si>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</si>
  <si>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</si>
  <si>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Námestie Rozkvet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</si>
  <si>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</si>
  <si>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</si>
  <si>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</si>
  <si>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</si>
  <si>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</si>
  <si>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</si>
  <si>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</si>
  <si>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</si>
  <si>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</si>
  <si>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</si>
  <si>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</si>
  <si>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</si>
  <si>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</si>
  <si>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</si>
  <si>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</si>
  <si>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</si>
  <si>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</si>
  <si>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</si>
  <si>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</si>
  <si>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</si>
  <si>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</si>
  <si>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</si>
  <si>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</si>
  <si>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</si>
  <si>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</si>
  <si>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</si>
  <si>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</si>
  <si>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</si>
  <si>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</si>
  <si>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</si>
  <si>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</si>
  <si>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</si>
  <si>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</si>
  <si>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</si>
  <si>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</si>
  <si>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</si>
  <si>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</si>
  <si>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</si>
  <si>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</si>
  <si>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</si>
  <si>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</si>
  <si>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</si>
  <si>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</si>
  <si>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</si>
  <si>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</si>
  <si>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</si>
  <si>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</si>
  <si>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</si>
  <si>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</si>
  <si>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</si>
  <si>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</si>
  <si>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</si>
  <si>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</si>
  <si>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</si>
  <si>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</si>
  <si>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</si>
  <si>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</si>
  <si>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Trenčianske historické slávnosti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</si>
  <si>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</si>
  <si>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</si>
  <si>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</si>
  <si>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</si>
  <si>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</si>
  <si>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</si>
  <si>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</si>
  <si>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</si>
  <si>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</si>
  <si>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</si>
  <si>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</si>
  <si>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</si>
  <si>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</si>
  <si>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</si>
  <si>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</si>
  <si>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</si>
  <si>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</si>
  <si>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</si>
  <si>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</si>
  <si>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</si>
  <si>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</si>
  <si>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</si>
  <si>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</si>
  <si>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</si>
  <si>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</si>
  <si>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</si>
  <si>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</si>
  <si>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</si>
  <si>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</si>
  <si>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</si>
  <si>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</si>
  <si>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</si>
  <si>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</si>
  <si>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</si>
  <si>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</si>
  <si>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Rekonštrukcia detské ihrisko Kvetná</t>
  </si>
  <si>
    <t>Rekonštrukcia detské ihrisko Obchodná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</si>
  <si>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</si>
  <si>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</si>
  <si>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</si>
  <si>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</si>
  <si>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</si>
  <si>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</si>
  <si>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</si>
  <si>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</si>
  <si>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</si>
  <si>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</si>
  <si>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</si>
  <si>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</si>
  <si>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</si>
  <si>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</si>
  <si>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</si>
  <si>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</si>
  <si>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</si>
  <si>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FŠ Záblatie - exteriér, interiér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</si>
  <si>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</si>
  <si>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</si>
  <si>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</si>
  <si>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</si>
  <si>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</si>
  <si>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</si>
  <si>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</si>
  <si>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</si>
  <si>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</si>
  <si>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</si>
  <si>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</si>
  <si>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</si>
  <si>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</si>
  <si>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</si>
  <si>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</si>
  <si>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</si>
  <si>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</si>
  <si>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</si>
  <si>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</si>
  <si>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</si>
  <si>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</si>
  <si>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</si>
  <si>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</si>
  <si>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</si>
  <si>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</si>
  <si>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</si>
  <si>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</si>
  <si>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</si>
  <si>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</si>
  <si>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</si>
  <si>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</si>
  <si>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</si>
  <si>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</si>
  <si>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</si>
  <si>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</si>
  <si>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</si>
  <si>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</si>
  <si>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</si>
  <si>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</si>
  <si>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</si>
  <si>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</si>
  <si>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</si>
  <si>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</si>
  <si>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</si>
  <si>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</si>
  <si>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</si>
  <si>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Schválený rozpočet na rok 2020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</si>
  <si>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</si>
  <si>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</si>
  <si>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</si>
  <si>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</si>
  <si>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</si>
  <si>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</si>
  <si>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</si>
  <si>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</si>
  <si>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</si>
  <si>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</si>
  <si>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</si>
  <si>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</si>
  <si>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Informačná tabuľa na Brezine k obetiam 2.svetovej vojny</t>
  </si>
  <si>
    <t>Klub vojenskej histórie DUKLIANSKY PRIESMYK - Trenčín - Kultúrny program pri príležitosti 75.výročia oslobodenia mesta 17. a 18.apríla 2020</t>
  </si>
  <si>
    <t>Súťaže zo ŠR</t>
  </si>
  <si>
    <t>Dary</t>
  </si>
  <si>
    <t>453: ZŠ Kubranská - prostriedky z minulých rokov</t>
  </si>
  <si>
    <t>Voľby do NR SR 2020</t>
  </si>
  <si>
    <t>453: SSmT - prostriedky z minulých rokov</t>
  </si>
  <si>
    <t>PD k automatizovanému systému parkoviska Družba</t>
  </si>
  <si>
    <t>Cyklistická cestička, spojovacia vetva Soblahovská, Legionárska (bypass okružnej križovatky)</t>
  </si>
  <si>
    <t>Križovatka Električná/Nemocničná</t>
  </si>
  <si>
    <t>Dary na účet Pre Trenčín v súvislosti s výskytom koronavírusu</t>
  </si>
  <si>
    <t>Dovoz stravy pre klientov</t>
  </si>
  <si>
    <t>Dotácia z Dobrovoľnej požiarnej ochrany SR</t>
  </si>
  <si>
    <t>Statické zabezpečenie a konzervácia mestského opevnenia</t>
  </si>
  <si>
    <t>Mestské komunikácie MČ Sever</t>
  </si>
  <si>
    <t>Rekonštrukcia KIC</t>
  </si>
  <si>
    <t>Nevyčerpaná dotácia za rok 2019</t>
  </si>
  <si>
    <t>Nevyčerpaná dotácia z roku 2019</t>
  </si>
  <si>
    <t>Služby - vratky</t>
  </si>
  <si>
    <t>Ostatné kapitálové výdavky</t>
  </si>
  <si>
    <t>Vratka nevyčerpanej dotácie z projekt rekonštrukcia telocvične ZŠ Kubranská</t>
  </si>
  <si>
    <t>Nevyčerpaná dotácia z roku 2019 - "obedy zadarmo"</t>
  </si>
  <si>
    <t xml:space="preserve">Nevyčerpaná dotácia z roku 2019 </t>
  </si>
  <si>
    <t>Polopodzemné kontajnery</t>
  </si>
  <si>
    <t xml:space="preserve">453: Prevod hospodárskeho výsledku z podnikateľskej činnosti za prechádzajúci rok </t>
  </si>
  <si>
    <t>453: Prevod nevyčerpaných dotácií za predchádzajúci rok</t>
  </si>
  <si>
    <t>453: Zostatok finančných prostriedkov zo školských jedální za predchádzajúci rok</t>
  </si>
  <si>
    <t>454: Prevod z rezervného fondu</t>
  </si>
  <si>
    <t>Koncepcia športu - aktualizácia</t>
  </si>
  <si>
    <t>Nový mobiliár k altánku v parku M.R.Štefánika</t>
  </si>
  <si>
    <t>Finačný príspevok od SPP a.s.</t>
  </si>
  <si>
    <t>Pádivec</t>
  </si>
  <si>
    <t>Rodičovské združenie pri ZŠ s MŠ sv.Andreja - Svorada a Benedikta - dotácia na e-ihrisko</t>
  </si>
  <si>
    <t>Osobné úžitkové vozidlo</t>
  </si>
  <si>
    <t>% plnenia</t>
  </si>
  <si>
    <t>Plnenie rozpočtu 30.6.2020</t>
  </si>
  <si>
    <t xml:space="preserve"> % plnenia</t>
  </si>
  <si>
    <t>Bežný rozpočet 2020</t>
  </si>
  <si>
    <t>Plnenie bežného rozpočtu k 30.6.2020</t>
  </si>
  <si>
    <t>Kapitálový rozpočet 2020</t>
  </si>
  <si>
    <t>Plnenie kapitálového rozpočtu k 30.6.2020</t>
  </si>
  <si>
    <t>Plnenie rozpočtu k 30.6.2020</t>
  </si>
  <si>
    <t>Plnenie Programového rozpočtu Mesta Trenčín k 30.6.2020</t>
  </si>
  <si>
    <t xml:space="preserve">Kapitálové príjmy </t>
  </si>
  <si>
    <t>Príjmy spolu</t>
  </si>
  <si>
    <t>Z predaja bytov</t>
  </si>
  <si>
    <t>Dotácia na školské potreby</t>
  </si>
  <si>
    <t>Lyžiarsky kurz, škola v prírode</t>
  </si>
  <si>
    <t>Enviromentálny fond</t>
  </si>
  <si>
    <t>Zo štátného účelového fondu</t>
  </si>
  <si>
    <t>Dotácia na životné prostredie</t>
  </si>
  <si>
    <t>Sčítanie domov a bytov</t>
  </si>
  <si>
    <t>Register adries</t>
  </si>
  <si>
    <t>Zahraničné granty</t>
  </si>
  <si>
    <t>Bežné zahraničné granty</t>
  </si>
  <si>
    <t>Od zahraničného subjektu</t>
  </si>
  <si>
    <t>HORIZON 2020</t>
  </si>
  <si>
    <t>455: Odplata za postúpenú pohľadávku</t>
  </si>
  <si>
    <t>Z refundácie</t>
  </si>
  <si>
    <t>HN - školské pomôcky</t>
  </si>
  <si>
    <t>Základná škola, Novomeského 11, Trenčín</t>
  </si>
  <si>
    <t>Granty</t>
  </si>
  <si>
    <t>Základná škola, Bezručova 66, Trenčín</t>
  </si>
  <si>
    <t xml:space="preserve">Participatívny rozpočet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</si>
</sst>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  <numFmt numFmtId="194" formatCode="0.0"/>
  </numFmts>
  <fonts count="10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Calibri"/>
      <family val="2"/>
    </font>
    <font>
      <b/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E"/>
      <family val="2"/>
    </font>
    <font>
      <b/>
      <sz val="8"/>
      <color indexed="10"/>
      <name val="Arial CE"/>
      <family val="0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color indexed="8"/>
      <name val="Arial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20"/>
      <color indexed="18"/>
      <name val="Arial CE"/>
      <family val="2"/>
    </font>
    <font>
      <b/>
      <sz val="8"/>
      <color indexed="18"/>
      <name val="Arial CE"/>
      <family val="0"/>
    </font>
    <font>
      <sz val="6"/>
      <color indexed="18"/>
      <name val="Arial CE"/>
      <family val="2"/>
    </font>
    <font>
      <sz val="8"/>
      <color indexed="18"/>
      <name val="Arial CE"/>
      <family val="2"/>
    </font>
    <font>
      <b/>
      <sz val="18"/>
      <color indexed="12"/>
      <name val="Tahoma"/>
      <family val="2"/>
    </font>
    <font>
      <b/>
      <i/>
      <sz val="8"/>
      <color indexed="56"/>
      <name val="Arial"/>
      <family val="2"/>
    </font>
    <font>
      <b/>
      <sz val="8"/>
      <color indexed="9"/>
      <name val="Arial"/>
      <family val="2"/>
    </font>
    <font>
      <b/>
      <i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 CE"/>
      <family val="2"/>
    </font>
    <font>
      <b/>
      <sz val="8"/>
      <color rgb="FFFF0000"/>
      <name val="Arial CE"/>
      <family val="0"/>
    </font>
    <font>
      <b/>
      <i/>
      <sz val="9"/>
      <color rgb="FF003366"/>
      <name val="Arial"/>
      <family val="2"/>
    </font>
    <font>
      <b/>
      <sz val="8"/>
      <color rgb="FFFFFFFF"/>
      <name val="Arial CE"/>
      <family val="0"/>
    </font>
    <font>
      <sz val="8"/>
      <color rgb="FF000000"/>
      <name val="Arial"/>
      <family val="2"/>
    </font>
    <font>
      <sz val="8"/>
      <color rgb="FF000000"/>
      <name val="Arial CE"/>
      <family val="0"/>
    </font>
    <font>
      <b/>
      <sz val="18"/>
      <color rgb="FF0000FF"/>
      <name val="Tahoma"/>
      <family val="2"/>
    </font>
    <font>
      <sz val="6"/>
      <color rgb="FF000080"/>
      <name val="Arial CE"/>
      <family val="2"/>
    </font>
    <font>
      <b/>
      <sz val="20"/>
      <color rgb="FF000080"/>
      <name val="Arial CE"/>
      <family val="2"/>
    </font>
    <font>
      <b/>
      <sz val="8"/>
      <color rgb="FF000080"/>
      <name val="Arial CE"/>
      <family val="0"/>
    </font>
    <font>
      <b/>
      <sz val="8"/>
      <color rgb="FF000000"/>
      <name val="Arial CE"/>
      <family val="0"/>
    </font>
    <font>
      <sz val="8"/>
      <color rgb="FF000080"/>
      <name val="Arial CE"/>
      <family val="2"/>
    </font>
    <font>
      <b/>
      <i/>
      <sz val="8"/>
      <color rgb="FF003366"/>
      <name val="Arial"/>
      <family val="2"/>
    </font>
    <font>
      <b/>
      <sz val="8"/>
      <color rgb="FFFFFFFF"/>
      <name val="Arial"/>
      <family val="2"/>
    </font>
    <font>
      <b/>
      <i/>
      <sz val="12"/>
      <color rgb="FF000000"/>
      <name val="Arial CE"/>
      <family val="2"/>
    </font>
    <font>
      <b/>
      <sz val="10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>
        <color rgb="FF000000"/>
      </top>
      <bottom style="thin"/>
    </border>
    <border>
      <left style="thin"/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medium"/>
    </border>
    <border>
      <left style="thin"/>
      <right style="medium">
        <color rgb="FF000000"/>
      </right>
      <top style="thin">
        <color rgb="FF000000"/>
      </top>
      <bottom style="medium"/>
    </border>
    <border>
      <left/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medium">
        <color rgb="FF000000"/>
      </left>
      <right style="thin"/>
      <top style="double"/>
      <bottom style="medium">
        <color rgb="FF000000"/>
      </bottom>
    </border>
    <border>
      <left style="thin"/>
      <right style="thin"/>
      <top style="doubl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20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4" borderId="8" applyNumberFormat="0" applyAlignment="0" applyProtection="0"/>
    <xf numFmtId="0" fontId="81" fillId="25" borderId="8" applyNumberFormat="0" applyAlignment="0" applyProtection="0"/>
    <xf numFmtId="0" fontId="82" fillId="25" borderId="9" applyNumberFormat="0" applyAlignment="0" applyProtection="0"/>
    <xf numFmtId="0" fontId="83" fillId="0" borderId="0" applyNumberFormat="0" applyFill="0" applyBorder="0" applyAlignment="0" applyProtection="0"/>
    <xf numFmtId="0" fontId="84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6" fillId="37" borderId="13" xfId="0" applyFont="1" applyFill="1" applyBorder="1" applyAlignment="1">
      <alignment/>
    </xf>
    <xf numFmtId="0" fontId="16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16" fillId="37" borderId="14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49" fontId="4" fillId="40" borderId="11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7" fillId="41" borderId="11" xfId="0" applyFont="1" applyFill="1" applyBorder="1" applyAlignment="1">
      <alignment/>
    </xf>
    <xf numFmtId="49" fontId="7" fillId="41" borderId="11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6" fillId="38" borderId="16" xfId="0" applyFont="1" applyFill="1" applyBorder="1" applyAlignment="1">
      <alignment/>
    </xf>
    <xf numFmtId="0" fontId="85" fillId="0" borderId="11" xfId="0" applyFont="1" applyBorder="1" applyAlignment="1">
      <alignment vertical="center"/>
    </xf>
    <xf numFmtId="3" fontId="2" fillId="36" borderId="12" xfId="0" applyNumberFormat="1" applyFont="1" applyFill="1" applyBorder="1" applyAlignment="1">
      <alignment/>
    </xf>
    <xf numFmtId="3" fontId="16" fillId="37" borderId="13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11" fillId="36" borderId="11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 vertical="center"/>
    </xf>
    <xf numFmtId="3" fontId="16" fillId="38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4" fillId="40" borderId="11" xfId="0" applyNumberFormat="1" applyFont="1" applyFill="1" applyBorder="1" applyAlignment="1">
      <alignment/>
    </xf>
    <xf numFmtId="3" fontId="7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3" fontId="11" fillId="36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4" fillId="42" borderId="11" xfId="0" applyFont="1" applyFill="1" applyBorder="1" applyAlignment="1">
      <alignment/>
    </xf>
    <xf numFmtId="0" fontId="16" fillId="37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0" fontId="6" fillId="42" borderId="11" xfId="0" applyFont="1" applyFill="1" applyBorder="1" applyAlignment="1">
      <alignment wrapText="1"/>
    </xf>
    <xf numFmtId="3" fontId="6" fillId="42" borderId="11" xfId="0" applyNumberFormat="1" applyFont="1" applyFill="1" applyBorder="1" applyAlignment="1">
      <alignment vertical="center"/>
    </xf>
    <xf numFmtId="0" fontId="6" fillId="42" borderId="18" xfId="0" applyFont="1" applyFill="1" applyBorder="1" applyAlignment="1">
      <alignment wrapText="1"/>
    </xf>
    <xf numFmtId="0" fontId="6" fillId="42" borderId="18" xfId="0" applyFont="1" applyFill="1" applyBorder="1" applyAlignment="1">
      <alignment horizontal="left" vertical="center" wrapText="1"/>
    </xf>
    <xf numFmtId="0" fontId="6" fillId="42" borderId="11" xfId="0" applyFont="1" applyFill="1" applyBorder="1" applyAlignment="1">
      <alignment vertical="center" wrapText="1"/>
    </xf>
    <xf numFmtId="3" fontId="45" fillId="42" borderId="18" xfId="0" applyNumberFormat="1" applyFont="1" applyFill="1" applyBorder="1" applyAlignment="1">
      <alignment/>
    </xf>
    <xf numFmtId="0" fontId="6" fillId="42" borderId="1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21" fillId="36" borderId="19" xfId="0" applyFont="1" applyFill="1" applyBorder="1" applyAlignment="1">
      <alignment/>
    </xf>
    <xf numFmtId="3" fontId="10" fillId="36" borderId="11" xfId="0" applyNumberFormat="1" applyFont="1" applyFill="1" applyBorder="1" applyAlignment="1">
      <alignment/>
    </xf>
    <xf numFmtId="0" fontId="22" fillId="0" borderId="19" xfId="0" applyFont="1" applyBorder="1" applyAlignment="1">
      <alignment/>
    </xf>
    <xf numFmtId="3" fontId="13" fillId="0" borderId="11" xfId="0" applyNumberFormat="1" applyFont="1" applyBorder="1" applyAlignment="1">
      <alignment/>
    </xf>
    <xf numFmtId="0" fontId="21" fillId="36" borderId="19" xfId="0" applyFont="1" applyFill="1" applyBorder="1" applyAlignment="1">
      <alignment vertical="center"/>
    </xf>
    <xf numFmtId="3" fontId="10" fillId="36" borderId="11" xfId="0" applyNumberFormat="1" applyFont="1" applyFill="1" applyBorder="1" applyAlignment="1">
      <alignment vertical="center"/>
    </xf>
    <xf numFmtId="0" fontId="21" fillId="36" borderId="21" xfId="0" applyFont="1" applyFill="1" applyBorder="1" applyAlignment="1">
      <alignment vertical="center"/>
    </xf>
    <xf numFmtId="3" fontId="10" fillId="36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0" fillId="43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10" fillId="36" borderId="12" xfId="0" applyNumberFormat="1" applyFont="1" applyFill="1" applyBorder="1" applyAlignment="1">
      <alignment vertical="center"/>
    </xf>
    <xf numFmtId="3" fontId="10" fillId="43" borderId="24" xfId="0" applyNumberFormat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5" fillId="44" borderId="15" xfId="0" applyFont="1" applyFill="1" applyBorder="1" applyAlignment="1">
      <alignment horizontal="left"/>
    </xf>
    <xf numFmtId="0" fontId="15" fillId="44" borderId="25" xfId="0" applyFont="1" applyFill="1" applyBorder="1" applyAlignment="1">
      <alignment horizontal="left"/>
    </xf>
    <xf numFmtId="0" fontId="16" fillId="37" borderId="13" xfId="0" applyFont="1" applyFill="1" applyBorder="1" applyAlignment="1">
      <alignment/>
    </xf>
    <xf numFmtId="3" fontId="16" fillId="37" borderId="13" xfId="0" applyNumberFormat="1" applyFont="1" applyFill="1" applyBorder="1" applyAlignment="1">
      <alignment/>
    </xf>
    <xf numFmtId="0" fontId="86" fillId="45" borderId="26" xfId="0" applyFont="1" applyFill="1" applyBorder="1" applyAlignment="1">
      <alignment/>
    </xf>
    <xf numFmtId="3" fontId="86" fillId="45" borderId="26" xfId="0" applyNumberFormat="1" applyFont="1" applyFill="1" applyBorder="1" applyAlignment="1">
      <alignment/>
    </xf>
    <xf numFmtId="0" fontId="87" fillId="46" borderId="27" xfId="0" applyFont="1" applyFill="1" applyBorder="1" applyAlignment="1">
      <alignment/>
    </xf>
    <xf numFmtId="0" fontId="87" fillId="46" borderId="28" xfId="0" applyFont="1" applyFill="1" applyBorder="1" applyAlignment="1">
      <alignment/>
    </xf>
    <xf numFmtId="3" fontId="87" fillId="46" borderId="28" xfId="0" applyNumberFormat="1" applyFont="1" applyFill="1" applyBorder="1" applyAlignment="1">
      <alignment/>
    </xf>
    <xf numFmtId="0" fontId="88" fillId="0" borderId="27" xfId="0" applyFont="1" applyBorder="1" applyAlignment="1">
      <alignment/>
    </xf>
    <xf numFmtId="0" fontId="88" fillId="0" borderId="28" xfId="0" applyFont="1" applyBorder="1" applyAlignment="1">
      <alignment/>
    </xf>
    <xf numFmtId="3" fontId="88" fillId="0" borderId="28" xfId="0" applyNumberFormat="1" applyFont="1" applyBorder="1" applyAlignment="1">
      <alignment/>
    </xf>
    <xf numFmtId="49" fontId="89" fillId="0" borderId="28" xfId="0" applyNumberFormat="1" applyFont="1" applyBorder="1" applyAlignment="1">
      <alignment horizontal="center" vertical="center"/>
    </xf>
    <xf numFmtId="0" fontId="89" fillId="0" borderId="28" xfId="0" applyFont="1" applyBorder="1" applyAlignment="1">
      <alignment horizontal="center"/>
    </xf>
    <xf numFmtId="0" fontId="89" fillId="0" borderId="28" xfId="0" applyFont="1" applyBorder="1" applyAlignment="1">
      <alignment/>
    </xf>
    <xf numFmtId="3" fontId="89" fillId="0" borderId="28" xfId="0" applyNumberFormat="1" applyFont="1" applyBorder="1" applyAlignment="1">
      <alignment/>
    </xf>
    <xf numFmtId="0" fontId="85" fillId="0" borderId="28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/>
    </xf>
    <xf numFmtId="0" fontId="85" fillId="0" borderId="28" xfId="0" applyFont="1" applyBorder="1" applyAlignment="1">
      <alignment/>
    </xf>
    <xf numFmtId="3" fontId="85" fillId="0" borderId="28" xfId="0" applyNumberFormat="1" applyFont="1" applyBorder="1" applyAlignment="1">
      <alignment/>
    </xf>
    <xf numFmtId="49" fontId="85" fillId="0" borderId="28" xfId="0" applyNumberFormat="1" applyFont="1" applyBorder="1" applyAlignment="1">
      <alignment horizontal="center" vertical="center"/>
    </xf>
    <xf numFmtId="0" fontId="90" fillId="47" borderId="29" xfId="0" applyFont="1" applyFill="1" applyBorder="1" applyAlignment="1">
      <alignment horizontal="left"/>
    </xf>
    <xf numFmtId="0" fontId="90" fillId="47" borderId="30" xfId="0" applyFont="1" applyFill="1" applyBorder="1" applyAlignment="1">
      <alignment horizontal="left"/>
    </xf>
    <xf numFmtId="0" fontId="90" fillId="47" borderId="0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9" fillId="48" borderId="25" xfId="0" applyFont="1" applyFill="1" applyBorder="1" applyAlignment="1">
      <alignment horizontal="left"/>
    </xf>
    <xf numFmtId="3" fontId="9" fillId="33" borderId="31" xfId="0" applyNumberFormat="1" applyFont="1" applyFill="1" applyBorder="1" applyAlignment="1">
      <alignment horizontal="left"/>
    </xf>
    <xf numFmtId="3" fontId="45" fillId="42" borderId="0" xfId="0" applyNumberFormat="1" applyFont="1" applyFill="1" applyBorder="1" applyAlignment="1">
      <alignment/>
    </xf>
    <xf numFmtId="3" fontId="91" fillId="0" borderId="0" xfId="0" applyNumberFormat="1" applyFont="1" applyAlignment="1">
      <alignment horizontal="center" vertical="center" wrapText="1"/>
    </xf>
    <xf numFmtId="3" fontId="91" fillId="0" borderId="32" xfId="0" applyNumberFormat="1" applyFont="1" applyBorder="1" applyAlignment="1">
      <alignment horizontal="center" vertical="center" wrapText="1"/>
    </xf>
    <xf numFmtId="49" fontId="92" fillId="0" borderId="0" xfId="0" applyNumberFormat="1" applyFont="1" applyAlignment="1">
      <alignment horizontal="center"/>
    </xf>
    <xf numFmtId="3" fontId="93" fillId="0" borderId="0" xfId="0" applyNumberFormat="1" applyFont="1" applyAlignment="1">
      <alignment horizontal="center" vertical="center" wrapText="1"/>
    </xf>
    <xf numFmtId="3" fontId="91" fillId="42" borderId="0" xfId="0" applyNumberFormat="1" applyFont="1" applyFill="1" applyAlignment="1">
      <alignment horizontal="center" vertical="center" wrapText="1"/>
    </xf>
    <xf numFmtId="3" fontId="91" fillId="42" borderId="32" xfId="0" applyNumberFormat="1" applyFont="1" applyFill="1" applyBorder="1" applyAlignment="1">
      <alignment horizontal="center" vertical="center" wrapText="1"/>
    </xf>
    <xf numFmtId="3" fontId="9" fillId="42" borderId="16" xfId="0" applyNumberFormat="1" applyFont="1" applyFill="1" applyBorder="1" applyAlignment="1">
      <alignment vertical="center"/>
    </xf>
    <xf numFmtId="3" fontId="11" fillId="42" borderId="11" xfId="0" applyNumberFormat="1" applyFont="1" applyFill="1" applyBorder="1" applyAlignment="1">
      <alignment/>
    </xf>
    <xf numFmtId="3" fontId="10" fillId="42" borderId="11" xfId="0" applyNumberFormat="1" applyFont="1" applyFill="1" applyBorder="1" applyAlignment="1">
      <alignment/>
    </xf>
    <xf numFmtId="3" fontId="7" fillId="42" borderId="11" xfId="0" applyNumberFormat="1" applyFont="1" applyFill="1" applyBorder="1" applyAlignment="1">
      <alignment/>
    </xf>
    <xf numFmtId="3" fontId="4" fillId="42" borderId="11" xfId="0" applyNumberFormat="1" applyFont="1" applyFill="1" applyBorder="1" applyAlignment="1">
      <alignment/>
    </xf>
    <xf numFmtId="3" fontId="9" fillId="42" borderId="11" xfId="0" applyNumberFormat="1" applyFont="1" applyFill="1" applyBorder="1" applyAlignment="1">
      <alignment vertical="center"/>
    </xf>
    <xf numFmtId="3" fontId="89" fillId="42" borderId="0" xfId="0" applyNumberFormat="1" applyFont="1" applyFill="1" applyBorder="1" applyAlignment="1">
      <alignment/>
    </xf>
    <xf numFmtId="3" fontId="85" fillId="42" borderId="0" xfId="0" applyNumberFormat="1" applyFont="1" applyFill="1" applyBorder="1" applyAlignment="1">
      <alignment/>
    </xf>
    <xf numFmtId="3" fontId="16" fillId="42" borderId="11" xfId="0" applyNumberFormat="1" applyFont="1" applyFill="1" applyBorder="1" applyAlignment="1">
      <alignment/>
    </xf>
    <xf numFmtId="3" fontId="6" fillId="42" borderId="0" xfId="0" applyNumberFormat="1" applyFont="1" applyFill="1" applyBorder="1" applyAlignment="1">
      <alignment/>
    </xf>
    <xf numFmtId="3" fontId="11" fillId="42" borderId="11" xfId="0" applyNumberFormat="1" applyFont="1" applyFill="1" applyBorder="1" applyAlignment="1">
      <alignment/>
    </xf>
    <xf numFmtId="3" fontId="24" fillId="42" borderId="11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 horizontal="left" vertical="center"/>
    </xf>
    <xf numFmtId="3" fontId="6" fillId="42" borderId="11" xfId="0" applyNumberFormat="1" applyFont="1" applyFill="1" applyBorder="1" applyAlignment="1">
      <alignment horizontal="right" vertical="center"/>
    </xf>
    <xf numFmtId="194" fontId="94" fillId="47" borderId="33" xfId="0" applyNumberFormat="1" applyFont="1" applyFill="1" applyBorder="1" applyAlignment="1">
      <alignment/>
    </xf>
    <xf numFmtId="194" fontId="95" fillId="47" borderId="33" xfId="0" applyNumberFormat="1" applyFont="1" applyFill="1" applyBorder="1" applyAlignment="1">
      <alignment vertical="center"/>
    </xf>
    <xf numFmtId="194" fontId="95" fillId="47" borderId="34" xfId="0" applyNumberFormat="1" applyFont="1" applyFill="1" applyBorder="1" applyAlignment="1">
      <alignment vertical="center"/>
    </xf>
    <xf numFmtId="3" fontId="13" fillId="0" borderId="15" xfId="0" applyNumberFormat="1" applyFont="1" applyBorder="1" applyAlignment="1">
      <alignment/>
    </xf>
    <xf numFmtId="3" fontId="10" fillId="36" borderId="15" xfId="0" applyNumberFormat="1" applyFont="1" applyFill="1" applyBorder="1" applyAlignment="1">
      <alignment vertical="center"/>
    </xf>
    <xf numFmtId="3" fontId="10" fillId="36" borderId="35" xfId="0" applyNumberFormat="1" applyFont="1" applyFill="1" applyBorder="1" applyAlignment="1">
      <alignment vertical="center"/>
    </xf>
    <xf numFmtId="0" fontId="9" fillId="48" borderId="36" xfId="0" applyFont="1" applyFill="1" applyBorder="1" applyAlignment="1">
      <alignment horizontal="left"/>
    </xf>
    <xf numFmtId="0" fontId="15" fillId="44" borderId="37" xfId="0" applyFont="1" applyFill="1" applyBorder="1" applyAlignment="1">
      <alignment horizontal="left"/>
    </xf>
    <xf numFmtId="194" fontId="95" fillId="47" borderId="38" xfId="0" applyNumberFormat="1" applyFont="1" applyFill="1" applyBorder="1" applyAlignment="1">
      <alignment wrapText="1"/>
    </xf>
    <xf numFmtId="194" fontId="94" fillId="47" borderId="39" xfId="0" applyNumberFormat="1" applyFont="1" applyFill="1" applyBorder="1" applyAlignment="1">
      <alignment/>
    </xf>
    <xf numFmtId="194" fontId="94" fillId="47" borderId="40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4" fontId="94" fillId="47" borderId="34" xfId="0" applyNumberFormat="1" applyFont="1" applyFill="1" applyBorder="1" applyAlignment="1">
      <alignment/>
    </xf>
    <xf numFmtId="3" fontId="4" fillId="12" borderId="11" xfId="0" applyNumberFormat="1" applyFont="1" applyFill="1" applyBorder="1" applyAlignment="1">
      <alignment/>
    </xf>
    <xf numFmtId="0" fontId="4" fillId="12" borderId="11" xfId="0" applyFont="1" applyFill="1" applyBorder="1" applyAlignment="1">
      <alignment/>
    </xf>
    <xf numFmtId="194" fontId="94" fillId="47" borderId="3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1" xfId="0" applyNumberFormat="1" applyFont="1" applyBorder="1" applyAlignment="1">
      <alignment vertical="center"/>
    </xf>
    <xf numFmtId="190" fontId="1" fillId="0" borderId="11" xfId="0" applyNumberFormat="1" applyFont="1" applyFill="1" applyBorder="1" applyAlignment="1">
      <alignment/>
    </xf>
    <xf numFmtId="190" fontId="1" fillId="38" borderId="11" xfId="0" applyNumberFormat="1" applyFont="1" applyFill="1" applyBorder="1" applyAlignment="1">
      <alignment/>
    </xf>
    <xf numFmtId="190" fontId="1" fillId="37" borderId="11" xfId="0" applyNumberFormat="1" applyFont="1" applyFill="1" applyBorder="1" applyAlignment="1">
      <alignment/>
    </xf>
    <xf numFmtId="190" fontId="25" fillId="36" borderId="11" xfId="0" applyNumberFormat="1" applyFont="1" applyFill="1" applyBorder="1" applyAlignment="1">
      <alignment/>
    </xf>
    <xf numFmtId="190" fontId="25" fillId="34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3" fillId="48" borderId="43" xfId="0" applyNumberFormat="1" applyFont="1" applyFill="1" applyBorder="1" applyAlignment="1">
      <alignment/>
    </xf>
    <xf numFmtId="3" fontId="15" fillId="44" borderId="15" xfId="0" applyNumberFormat="1" applyFont="1" applyFill="1" applyBorder="1" applyAlignment="1">
      <alignment/>
    </xf>
    <xf numFmtId="3" fontId="23" fillId="48" borderId="15" xfId="0" applyNumberFormat="1" applyFont="1" applyFill="1" applyBorder="1" applyAlignment="1">
      <alignment/>
    </xf>
    <xf numFmtId="3" fontId="9" fillId="33" borderId="44" xfId="0" applyNumberFormat="1" applyFont="1" applyFill="1" applyBorder="1" applyAlignment="1">
      <alignment/>
    </xf>
    <xf numFmtId="3" fontId="23" fillId="48" borderId="45" xfId="0" applyNumberFormat="1" applyFont="1" applyFill="1" applyBorder="1" applyAlignment="1">
      <alignment/>
    </xf>
    <xf numFmtId="194" fontId="95" fillId="47" borderId="46" xfId="0" applyNumberFormat="1" applyFont="1" applyFill="1" applyBorder="1" applyAlignment="1">
      <alignment wrapText="1"/>
    </xf>
    <xf numFmtId="3" fontId="15" fillId="44" borderId="11" xfId="0" applyNumberFormat="1" applyFont="1" applyFill="1" applyBorder="1" applyAlignment="1">
      <alignment/>
    </xf>
    <xf numFmtId="194" fontId="95" fillId="47" borderId="47" xfId="0" applyNumberFormat="1" applyFont="1" applyFill="1" applyBorder="1" applyAlignment="1">
      <alignment wrapText="1"/>
    </xf>
    <xf numFmtId="3" fontId="23" fillId="48" borderId="11" xfId="0" applyNumberFormat="1" applyFont="1" applyFill="1" applyBorder="1" applyAlignment="1">
      <alignment/>
    </xf>
    <xf numFmtId="3" fontId="9" fillId="33" borderId="48" xfId="0" applyNumberFormat="1" applyFont="1" applyFill="1" applyBorder="1" applyAlignment="1">
      <alignment/>
    </xf>
    <xf numFmtId="194" fontId="95" fillId="47" borderId="49" xfId="0" applyNumberFormat="1" applyFont="1" applyFill="1" applyBorder="1" applyAlignment="1">
      <alignment wrapText="1"/>
    </xf>
    <xf numFmtId="3" fontId="10" fillId="36" borderId="15" xfId="0" applyNumberFormat="1" applyFont="1" applyFill="1" applyBorder="1" applyAlignment="1">
      <alignment/>
    </xf>
    <xf numFmtId="194" fontId="95" fillId="47" borderId="50" xfId="0" applyNumberFormat="1" applyFont="1" applyFill="1" applyBorder="1" applyAlignment="1">
      <alignment wrapText="1"/>
    </xf>
    <xf numFmtId="3" fontId="10" fillId="43" borderId="11" xfId="0" applyNumberFormat="1" applyFont="1" applyFill="1" applyBorder="1" applyAlignment="1">
      <alignment/>
    </xf>
    <xf numFmtId="194" fontId="95" fillId="47" borderId="51" xfId="0" applyNumberFormat="1" applyFont="1" applyFill="1" applyBorder="1" applyAlignment="1">
      <alignment wrapText="1"/>
    </xf>
    <xf numFmtId="194" fontId="95" fillId="47" borderId="52" xfId="0" applyNumberFormat="1" applyFont="1" applyFill="1" applyBorder="1" applyAlignment="1">
      <alignment wrapText="1"/>
    </xf>
    <xf numFmtId="194" fontId="95" fillId="47" borderId="53" xfId="0" applyNumberFormat="1" applyFont="1" applyFill="1" applyBorder="1" applyAlignment="1">
      <alignment wrapText="1"/>
    </xf>
    <xf numFmtId="3" fontId="10" fillId="36" borderId="25" xfId="0" applyNumberFormat="1" applyFont="1" applyFill="1" applyBorder="1" applyAlignment="1">
      <alignment/>
    </xf>
    <xf numFmtId="3" fontId="10" fillId="43" borderId="25" xfId="0" applyNumberFormat="1" applyFont="1" applyFill="1" applyBorder="1" applyAlignment="1">
      <alignment/>
    </xf>
    <xf numFmtId="3" fontId="13" fillId="0" borderId="25" xfId="0" applyNumberFormat="1" applyFont="1" applyBorder="1" applyAlignment="1">
      <alignment/>
    </xf>
    <xf numFmtId="3" fontId="10" fillId="36" borderId="25" xfId="0" applyNumberFormat="1" applyFont="1" applyFill="1" applyBorder="1" applyAlignment="1">
      <alignment vertical="center"/>
    </xf>
    <xf numFmtId="3" fontId="10" fillId="36" borderId="54" xfId="0" applyNumberFormat="1" applyFont="1" applyFill="1" applyBorder="1" applyAlignment="1">
      <alignment vertical="center"/>
    </xf>
    <xf numFmtId="0" fontId="0" fillId="0" borderId="55" xfId="0" applyBorder="1" applyAlignment="1">
      <alignment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/>
    </xf>
    <xf numFmtId="3" fontId="14" fillId="37" borderId="58" xfId="0" applyNumberFormat="1" applyFont="1" applyFill="1" applyBorder="1" applyAlignment="1">
      <alignment/>
    </xf>
    <xf numFmtId="194" fontId="94" fillId="47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6" fillId="42" borderId="0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vertical="center"/>
    </xf>
    <xf numFmtId="3" fontId="5" fillId="33" borderId="62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Alignment="1">
      <alignment vertical="center"/>
    </xf>
    <xf numFmtId="49" fontId="96" fillId="47" borderId="0" xfId="0" applyNumberFormat="1" applyFont="1" applyFill="1" applyAlignment="1">
      <alignment horizontal="center" vertical="center" wrapText="1"/>
    </xf>
    <xf numFmtId="49" fontId="97" fillId="49" borderId="63" xfId="0" applyNumberFormat="1" applyFont="1" applyFill="1" applyBorder="1" applyAlignment="1">
      <alignment horizontal="center" vertical="center" wrapText="1"/>
    </xf>
    <xf numFmtId="49" fontId="97" fillId="49" borderId="63" xfId="0" applyNumberFormat="1" applyFont="1" applyFill="1" applyBorder="1" applyAlignment="1">
      <alignment horizontal="center" vertical="center"/>
    </xf>
    <xf numFmtId="49" fontId="98" fillId="49" borderId="64" xfId="0" applyNumberFormat="1" applyFont="1" applyFill="1" applyBorder="1" applyAlignment="1">
      <alignment horizontal="center" vertical="center"/>
    </xf>
    <xf numFmtId="0" fontId="99" fillId="49" borderId="63" xfId="0" applyFont="1" applyFill="1" applyBorder="1" applyAlignment="1">
      <alignment horizontal="center" vertical="center"/>
    </xf>
    <xf numFmtId="3" fontId="100" fillId="45" borderId="65" xfId="0" applyNumberFormat="1" applyFont="1" applyFill="1" applyBorder="1" applyAlignment="1">
      <alignment horizontal="center" vertical="center" wrapText="1"/>
    </xf>
    <xf numFmtId="0" fontId="101" fillId="49" borderId="66" xfId="0" applyFont="1" applyFill="1" applyBorder="1" applyAlignment="1">
      <alignment horizontal="center"/>
    </xf>
    <xf numFmtId="0" fontId="95" fillId="0" borderId="67" xfId="0" applyFont="1" applyBorder="1" applyAlignment="1">
      <alignment horizontal="center" vertical="center" wrapText="1"/>
    </xf>
    <xf numFmtId="3" fontId="93" fillId="50" borderId="68" xfId="0" applyNumberFormat="1" applyFont="1" applyFill="1" applyBorder="1" applyAlignment="1">
      <alignment horizontal="center" vertical="center" wrapText="1"/>
    </xf>
    <xf numFmtId="3" fontId="95" fillId="47" borderId="69" xfId="0" applyNumberFormat="1" applyFont="1" applyFill="1" applyBorder="1" applyAlignment="1">
      <alignment horizontal="center" vertical="center" wrapText="1"/>
    </xf>
    <xf numFmtId="3" fontId="93" fillId="50" borderId="28" xfId="0" applyNumberFormat="1" applyFont="1" applyFill="1" applyBorder="1" applyAlignment="1">
      <alignment horizontal="center" vertical="center" wrapText="1"/>
    </xf>
    <xf numFmtId="3" fontId="95" fillId="47" borderId="34" xfId="0" applyNumberFormat="1" applyFont="1" applyFill="1" applyBorder="1" applyAlignment="1">
      <alignment horizontal="center" vertical="center" wrapText="1"/>
    </xf>
    <xf numFmtId="49" fontId="102" fillId="51" borderId="70" xfId="0" applyNumberFormat="1" applyFont="1" applyFill="1" applyBorder="1" applyAlignment="1">
      <alignment horizontal="center" vertical="center"/>
    </xf>
    <xf numFmtId="0" fontId="95" fillId="52" borderId="28" xfId="0" applyFont="1" applyFill="1" applyBorder="1" applyAlignment="1">
      <alignment horizontal="center" vertical="center" wrapText="1"/>
    </xf>
    <xf numFmtId="0" fontId="95" fillId="52" borderId="28" xfId="0" applyFont="1" applyFill="1" applyBorder="1" applyAlignment="1">
      <alignment horizontal="center" vertical="center"/>
    </xf>
    <xf numFmtId="3" fontId="93" fillId="50" borderId="66" xfId="0" applyNumberFormat="1" applyFont="1" applyFill="1" applyBorder="1" applyAlignment="1">
      <alignment horizontal="center" vertical="center" wrapText="1"/>
    </xf>
    <xf numFmtId="0" fontId="95" fillId="52" borderId="28" xfId="0" applyFont="1" applyFill="1" applyBorder="1" applyAlignment="1">
      <alignment horizontal="center" vertical="center" textRotation="180" wrapText="1"/>
    </xf>
    <xf numFmtId="3" fontId="93" fillId="50" borderId="64" xfId="0" applyNumberFormat="1" applyFont="1" applyFill="1" applyBorder="1" applyAlignment="1">
      <alignment horizontal="center" vertical="center" wrapText="1"/>
    </xf>
    <xf numFmtId="0" fontId="0" fillId="52" borderId="66" xfId="0" applyFill="1" applyBorder="1" applyAlignment="1">
      <alignment/>
    </xf>
    <xf numFmtId="0" fontId="0" fillId="52" borderId="28" xfId="0" applyFill="1" applyBorder="1" applyAlignment="1">
      <alignment/>
    </xf>
    <xf numFmtId="0" fontId="11" fillId="43" borderId="1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8" fillId="0" borderId="36" xfId="0" applyFont="1" applyFill="1" applyBorder="1" applyAlignment="1">
      <alignment/>
    </xf>
    <xf numFmtId="0" fontId="9" fillId="33" borderId="71" xfId="0" applyFont="1" applyFill="1" applyBorder="1" applyAlignment="1">
      <alignment vertical="center"/>
    </xf>
    <xf numFmtId="0" fontId="9" fillId="33" borderId="72" xfId="0" applyFont="1" applyFill="1" applyBorder="1" applyAlignment="1">
      <alignment vertical="center"/>
    </xf>
    <xf numFmtId="0" fontId="9" fillId="33" borderId="73" xfId="0" applyFont="1" applyFill="1" applyBorder="1" applyAlignment="1">
      <alignment vertical="center"/>
    </xf>
    <xf numFmtId="0" fontId="10" fillId="53" borderId="15" xfId="0" applyFont="1" applyFill="1" applyBorder="1" applyAlignment="1">
      <alignment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33" borderId="43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43" borderId="25" xfId="0" applyFill="1" applyBorder="1" applyAlignment="1">
      <alignment/>
    </xf>
    <xf numFmtId="0" fontId="0" fillId="43" borderId="12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1" fillId="43" borderId="15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53" borderId="25" xfId="0" applyFill="1" applyBorder="1" applyAlignment="1">
      <alignment/>
    </xf>
    <xf numFmtId="0" fontId="0" fillId="53" borderId="12" xfId="0" applyFill="1" applyBorder="1" applyAlignment="1">
      <alignment/>
    </xf>
    <xf numFmtId="0" fontId="18" fillId="0" borderId="25" xfId="0" applyFont="1" applyBorder="1" applyAlignment="1">
      <alignment/>
    </xf>
    <xf numFmtId="0" fontId="18" fillId="0" borderId="12" xfId="0" applyFont="1" applyBorder="1" applyAlignment="1">
      <alignment/>
    </xf>
    <xf numFmtId="3" fontId="103" fillId="50" borderId="75" xfId="0" applyNumberFormat="1" applyFont="1" applyFill="1" applyBorder="1" applyAlignment="1">
      <alignment horizontal="center" vertical="center" wrapText="1"/>
    </xf>
    <xf numFmtId="3" fontId="103" fillId="50" borderId="16" xfId="0" applyNumberFormat="1" applyFont="1" applyFill="1" applyBorder="1" applyAlignment="1">
      <alignment horizontal="center" vertical="center" wrapText="1"/>
    </xf>
    <xf numFmtId="3" fontId="94" fillId="47" borderId="76" xfId="0" applyNumberFormat="1" applyFont="1" applyFill="1" applyBorder="1" applyAlignment="1">
      <alignment horizontal="center" vertical="center" wrapText="1"/>
    </xf>
    <xf numFmtId="3" fontId="94" fillId="47" borderId="77" xfId="0" applyNumberFormat="1" applyFont="1" applyFill="1" applyBorder="1" applyAlignment="1">
      <alignment horizontal="center" vertical="center" wrapText="1"/>
    </xf>
    <xf numFmtId="0" fontId="104" fillId="45" borderId="26" xfId="0" applyFont="1" applyFill="1" applyBorder="1" applyAlignment="1">
      <alignment horizontal="center"/>
    </xf>
    <xf numFmtId="3" fontId="103" fillId="50" borderId="78" xfId="0" applyNumberFormat="1" applyFont="1" applyFill="1" applyBorder="1" applyAlignment="1">
      <alignment horizontal="center" vertical="center" wrapText="1"/>
    </xf>
    <xf numFmtId="3" fontId="103" fillId="50" borderId="79" xfId="0" applyNumberFormat="1" applyFont="1" applyFill="1" applyBorder="1" applyAlignment="1">
      <alignment horizontal="center" vertical="center" wrapText="1"/>
    </xf>
    <xf numFmtId="3" fontId="94" fillId="47" borderId="80" xfId="0" applyNumberFormat="1" applyFont="1" applyFill="1" applyBorder="1" applyAlignment="1">
      <alignment horizontal="center" vertical="center" wrapText="1"/>
    </xf>
    <xf numFmtId="3" fontId="94" fillId="47" borderId="81" xfId="0" applyNumberFormat="1" applyFont="1" applyFill="1" applyBorder="1" applyAlignment="1">
      <alignment horizontal="center" vertical="center" wrapText="1"/>
    </xf>
    <xf numFmtId="3" fontId="103" fillId="50" borderId="82" xfId="0" applyNumberFormat="1" applyFont="1" applyFill="1" applyBorder="1" applyAlignment="1">
      <alignment horizontal="center" vertical="center" wrapText="1"/>
    </xf>
    <xf numFmtId="3" fontId="103" fillId="50" borderId="83" xfId="0" applyNumberFormat="1" applyFont="1" applyFill="1" applyBorder="1" applyAlignment="1">
      <alignment horizontal="center" vertical="center" wrapText="1"/>
    </xf>
    <xf numFmtId="0" fontId="105" fillId="42" borderId="0" xfId="0" applyFont="1" applyFill="1" applyAlignment="1">
      <alignment horizontal="center" vertical="center" wrapText="1"/>
    </xf>
    <xf numFmtId="0" fontId="15" fillId="44" borderId="15" xfId="0" applyFont="1" applyFill="1" applyBorder="1" applyAlignment="1">
      <alignment horizontal="left"/>
    </xf>
    <xf numFmtId="0" fontId="15" fillId="44" borderId="25" xfId="0" applyFont="1" applyFill="1" applyBorder="1" applyAlignment="1">
      <alignment horizontal="left"/>
    </xf>
    <xf numFmtId="0" fontId="15" fillId="44" borderId="84" xfId="0" applyFont="1" applyFill="1" applyBorder="1" applyAlignment="1">
      <alignment horizontal="left"/>
    </xf>
    <xf numFmtId="0" fontId="15" fillId="44" borderId="85" xfId="0" applyFont="1" applyFill="1" applyBorder="1" applyAlignment="1">
      <alignment horizontal="left"/>
    </xf>
    <xf numFmtId="3" fontId="9" fillId="33" borderId="44" xfId="0" applyNumberFormat="1" applyFont="1" applyFill="1" applyBorder="1" applyAlignment="1">
      <alignment horizontal="left"/>
    </xf>
    <xf numFmtId="3" fontId="9" fillId="33" borderId="31" xfId="0" applyNumberFormat="1" applyFont="1" applyFill="1" applyBorder="1" applyAlignment="1">
      <alignment horizontal="left"/>
    </xf>
    <xf numFmtId="0" fontId="9" fillId="48" borderId="43" xfId="0" applyFont="1" applyFill="1" applyBorder="1" applyAlignment="1">
      <alignment horizontal="left"/>
    </xf>
    <xf numFmtId="0" fontId="9" fillId="48" borderId="36" xfId="0" applyFont="1" applyFill="1" applyBorder="1" applyAlignment="1">
      <alignment horizontal="left"/>
    </xf>
    <xf numFmtId="0" fontId="9" fillId="48" borderId="15" xfId="0" applyFont="1" applyFill="1" applyBorder="1" applyAlignment="1">
      <alignment horizontal="left"/>
    </xf>
    <xf numFmtId="0" fontId="9" fillId="48" borderId="25" xfId="0" applyFont="1" applyFill="1" applyBorder="1" applyAlignment="1">
      <alignment horizontal="left"/>
    </xf>
    <xf numFmtId="0" fontId="17" fillId="42" borderId="0" xfId="0" applyFont="1" applyFill="1" applyAlignment="1">
      <alignment horizontal="center" vertical="center" wrapText="1"/>
    </xf>
    <xf numFmtId="3" fontId="103" fillId="50" borderId="86" xfId="0" applyNumberFormat="1" applyFont="1" applyFill="1" applyBorder="1" applyAlignment="1">
      <alignment horizontal="center" vertical="center" wrapText="1"/>
    </xf>
    <xf numFmtId="3" fontId="103" fillId="50" borderId="36" xfId="0" applyNumberFormat="1" applyFont="1" applyFill="1" applyBorder="1" applyAlignment="1">
      <alignment horizontal="center" vertical="center" wrapText="1"/>
    </xf>
    <xf numFmtId="0" fontId="0" fillId="54" borderId="87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4" fillId="42" borderId="11" xfId="0" applyNumberFormat="1" applyFont="1" applyFill="1" applyBorder="1" applyAlignment="1">
      <alignment vertical="center"/>
    </xf>
    <xf numFmtId="0" fontId="0" fillId="54" borderId="88" xfId="0" applyFill="1" applyBorder="1" applyAlignment="1">
      <alignment horizontal="center"/>
    </xf>
    <xf numFmtId="0" fontId="0" fillId="54" borderId="15" xfId="0" applyFill="1" applyBorder="1" applyAlignment="1">
      <alignment horizontal="center"/>
    </xf>
    <xf numFmtId="0" fontId="12" fillId="36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15" fillId="36" borderId="15" xfId="0" applyFont="1" applyFill="1" applyBorder="1" applyAlignment="1">
      <alignment vertical="center"/>
    </xf>
    <xf numFmtId="0" fontId="15" fillId="36" borderId="15" xfId="0" applyFont="1" applyFill="1" applyBorder="1" applyAlignment="1">
      <alignment vertical="center" wrapText="1"/>
    </xf>
    <xf numFmtId="0" fontId="15" fillId="36" borderId="35" xfId="0" applyFont="1" applyFill="1" applyBorder="1" applyAlignment="1">
      <alignment vertical="center" wrapText="1"/>
    </xf>
    <xf numFmtId="3" fontId="103" fillId="50" borderId="89" xfId="0" applyNumberFormat="1" applyFont="1" applyFill="1" applyBorder="1" applyAlignment="1">
      <alignment horizontal="center" vertical="center" wrapText="1"/>
    </xf>
    <xf numFmtId="3" fontId="103" fillId="50" borderId="90" xfId="0" applyNumberFormat="1" applyFont="1" applyFill="1" applyBorder="1" applyAlignment="1">
      <alignment horizontal="center" vertical="center" wrapText="1"/>
    </xf>
    <xf numFmtId="3" fontId="0" fillId="0" borderId="91" xfId="0" applyNumberFormat="1" applyBorder="1" applyAlignment="1">
      <alignment/>
    </xf>
    <xf numFmtId="3" fontId="10" fillId="43" borderId="19" xfId="0" applyNumberFormat="1" applyFont="1" applyFill="1" applyBorder="1" applyAlignment="1">
      <alignment/>
    </xf>
    <xf numFmtId="3" fontId="13" fillId="0" borderId="19" xfId="0" applyNumberFormat="1" applyFont="1" applyBorder="1" applyAlignment="1">
      <alignment/>
    </xf>
    <xf numFmtId="3" fontId="10" fillId="36" borderId="19" xfId="0" applyNumberFormat="1" applyFont="1" applyFill="1" applyBorder="1" applyAlignment="1">
      <alignment vertical="center"/>
    </xf>
    <xf numFmtId="3" fontId="10" fillId="43" borderId="21" xfId="0" applyNumberFormat="1" applyFont="1" applyFill="1" applyBorder="1" applyAlignment="1">
      <alignment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K5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1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6" customWidth="1"/>
    <col min="9" max="9" width="13.28125" style="16" customWidth="1"/>
    <col min="10" max="10" width="7.421875" style="16" customWidth="1"/>
    <col min="11" max="11" width="6.140625" style="16" customWidth="1"/>
  </cols>
  <sheetData>
    <row r="1" spans="2:10" ht="48.75" customHeight="1" thickBot="1">
      <c r="B1" s="257" t="s">
        <v>570</v>
      </c>
      <c r="C1" s="257"/>
      <c r="D1" s="257"/>
      <c r="E1" s="257"/>
      <c r="F1" s="257"/>
      <c r="G1" s="257"/>
      <c r="H1" s="257"/>
      <c r="I1" s="257"/>
      <c r="J1" s="257"/>
    </row>
    <row r="2" spans="2:10" ht="12.75" customHeight="1" thickBot="1">
      <c r="B2" s="260" t="s">
        <v>36</v>
      </c>
      <c r="C2" s="260"/>
      <c r="D2" s="260"/>
      <c r="E2" s="260"/>
      <c r="F2" s="260"/>
      <c r="G2" s="260"/>
      <c r="H2" s="262" t="s">
        <v>515</v>
      </c>
      <c r="I2" s="262" t="s">
        <v>563</v>
      </c>
      <c r="J2" s="264" t="s">
        <v>562</v>
      </c>
    </row>
    <row r="3" spans="2:10" ht="12.75" customHeight="1" thickBot="1" thickTop="1">
      <c r="B3" s="260"/>
      <c r="C3" s="260"/>
      <c r="D3" s="260"/>
      <c r="E3" s="260"/>
      <c r="F3" s="260"/>
      <c r="G3" s="260"/>
      <c r="H3" s="262"/>
      <c r="I3" s="262"/>
      <c r="J3" s="264"/>
    </row>
    <row r="4" spans="2:10" ht="14.25" thickBot="1" thickTop="1">
      <c r="B4" s="263" t="s">
        <v>111</v>
      </c>
      <c r="C4" s="258" t="s">
        <v>112</v>
      </c>
      <c r="D4" s="259" t="s">
        <v>113</v>
      </c>
      <c r="E4" s="259" t="s">
        <v>115</v>
      </c>
      <c r="F4" s="259" t="s">
        <v>116</v>
      </c>
      <c r="G4" s="261" t="s">
        <v>114</v>
      </c>
      <c r="H4" s="262"/>
      <c r="I4" s="262"/>
      <c r="J4" s="264"/>
    </row>
    <row r="5" spans="2:10" ht="19.5" customHeight="1" thickBot="1" thickTop="1">
      <c r="B5" s="263"/>
      <c r="C5" s="258"/>
      <c r="D5" s="259"/>
      <c r="E5" s="259"/>
      <c r="F5" s="259"/>
      <c r="G5" s="261"/>
      <c r="H5" s="262"/>
      <c r="I5" s="262"/>
      <c r="J5" s="264"/>
    </row>
    <row r="6" spans="2:10" ht="17.25" thickBot="1" thickTop="1">
      <c r="B6" s="249">
        <v>1</v>
      </c>
      <c r="C6" s="10">
        <v>100</v>
      </c>
      <c r="D6" s="10"/>
      <c r="E6" s="10"/>
      <c r="F6" s="10"/>
      <c r="G6" s="10" t="s">
        <v>266</v>
      </c>
      <c r="H6" s="67">
        <f>H7</f>
        <v>31509228</v>
      </c>
      <c r="I6" s="67">
        <f>I7</f>
        <v>15900402</v>
      </c>
      <c r="J6" s="208">
        <f aca="true" t="shared" si="0" ref="J6:J72">I6/H6*100</f>
        <v>50.46268350338511</v>
      </c>
    </row>
    <row r="7" spans="2:10" ht="15.75" thickBot="1">
      <c r="B7" s="249">
        <f>B6+1</f>
        <v>2</v>
      </c>
      <c r="C7" s="18"/>
      <c r="D7" s="11"/>
      <c r="E7" s="101"/>
      <c r="F7" s="18"/>
      <c r="G7" s="11" t="s">
        <v>35</v>
      </c>
      <c r="H7" s="68">
        <f>H8+H11+H16</f>
        <v>31509228</v>
      </c>
      <c r="I7" s="68">
        <f>I8+I11+I16</f>
        <v>15900402</v>
      </c>
      <c r="J7" s="208">
        <f t="shared" si="0"/>
        <v>50.46268350338511</v>
      </c>
    </row>
    <row r="8" spans="2:10" ht="12.75">
      <c r="B8" s="249">
        <f>B7+1</f>
        <v>3</v>
      </c>
      <c r="C8" s="19">
        <v>110</v>
      </c>
      <c r="D8" s="6"/>
      <c r="E8" s="6"/>
      <c r="F8" s="19"/>
      <c r="G8" s="6" t="s">
        <v>267</v>
      </c>
      <c r="H8" s="69">
        <f>H9</f>
        <v>21146228</v>
      </c>
      <c r="I8" s="69">
        <f>I9</f>
        <v>11554731</v>
      </c>
      <c r="J8" s="208">
        <f t="shared" si="0"/>
        <v>54.64204301589862</v>
      </c>
    </row>
    <row r="9" spans="2:10" ht="12.75">
      <c r="B9" s="249">
        <f aca="true" t="shared" si="1" ref="B9:B75">B8+1</f>
        <v>4</v>
      </c>
      <c r="C9" s="20"/>
      <c r="D9" s="3">
        <v>111</v>
      </c>
      <c r="E9" s="3"/>
      <c r="F9" s="20"/>
      <c r="G9" s="3" t="s">
        <v>268</v>
      </c>
      <c r="H9" s="70">
        <f>H10</f>
        <v>21146228</v>
      </c>
      <c r="I9" s="70">
        <f>I10</f>
        <v>11554731</v>
      </c>
      <c r="J9" s="208">
        <f t="shared" si="0"/>
        <v>54.64204301589862</v>
      </c>
    </row>
    <row r="10" spans="2:10" ht="12.75">
      <c r="B10" s="249">
        <f t="shared" si="1"/>
        <v>5</v>
      </c>
      <c r="C10" s="17"/>
      <c r="D10" s="4"/>
      <c r="E10" s="4">
        <v>111003</v>
      </c>
      <c r="F10" s="17"/>
      <c r="G10" s="4" t="s">
        <v>265</v>
      </c>
      <c r="H10" s="71">
        <f>23700000-2553772</f>
        <v>21146228</v>
      </c>
      <c r="I10" s="71">
        <v>11554731</v>
      </c>
      <c r="J10" s="208">
        <f t="shared" si="0"/>
        <v>54.64204301589862</v>
      </c>
    </row>
    <row r="11" spans="2:10" ht="12.75">
      <c r="B11" s="249">
        <f t="shared" si="1"/>
        <v>6</v>
      </c>
      <c r="C11" s="19">
        <v>120</v>
      </c>
      <c r="D11" s="6"/>
      <c r="E11" s="6"/>
      <c r="F11" s="19"/>
      <c r="G11" s="6" t="s">
        <v>270</v>
      </c>
      <c r="H11" s="69">
        <f>H12</f>
        <v>7600000</v>
      </c>
      <c r="I11" s="69">
        <f>I12</f>
        <v>2702512</v>
      </c>
      <c r="J11" s="208">
        <f t="shared" si="0"/>
        <v>35.55936842105263</v>
      </c>
    </row>
    <row r="12" spans="2:10" ht="12.75">
      <c r="B12" s="249">
        <f t="shared" si="1"/>
        <v>7</v>
      </c>
      <c r="C12" s="20"/>
      <c r="D12" s="3">
        <v>121</v>
      </c>
      <c r="E12" s="3"/>
      <c r="F12" s="20"/>
      <c r="G12" s="3" t="s">
        <v>271</v>
      </c>
      <c r="H12" s="70">
        <f>SUM(H13:H15)</f>
        <v>7600000</v>
      </c>
      <c r="I12" s="70">
        <f>SUM(I13:I15)</f>
        <v>2702512</v>
      </c>
      <c r="J12" s="208">
        <f t="shared" si="0"/>
        <v>35.55936842105263</v>
      </c>
    </row>
    <row r="13" spans="2:10" ht="12.75">
      <c r="B13" s="249">
        <f t="shared" si="1"/>
        <v>8</v>
      </c>
      <c r="C13" s="17"/>
      <c r="D13" s="4"/>
      <c r="E13" s="4">
        <v>121001</v>
      </c>
      <c r="F13" s="17"/>
      <c r="G13" s="4" t="s">
        <v>269</v>
      </c>
      <c r="H13" s="71">
        <v>710000</v>
      </c>
      <c r="I13" s="71">
        <v>301902</v>
      </c>
      <c r="J13" s="208">
        <f t="shared" si="0"/>
        <v>42.52140845070422</v>
      </c>
    </row>
    <row r="14" spans="2:10" ht="12.75">
      <c r="B14" s="249">
        <f t="shared" si="1"/>
        <v>9</v>
      </c>
      <c r="C14" s="17"/>
      <c r="D14" s="4"/>
      <c r="E14" s="4">
        <v>121002</v>
      </c>
      <c r="F14" s="17"/>
      <c r="G14" s="4" t="s">
        <v>272</v>
      </c>
      <c r="H14" s="71">
        <f>6010000+270000+20000</f>
        <v>6300000</v>
      </c>
      <c r="I14" s="71">
        <v>2077063</v>
      </c>
      <c r="J14" s="208">
        <f t="shared" si="0"/>
        <v>32.96925396825397</v>
      </c>
    </row>
    <row r="15" spans="2:10" ht="12.75">
      <c r="B15" s="249">
        <f t="shared" si="1"/>
        <v>10</v>
      </c>
      <c r="C15" s="17"/>
      <c r="D15" s="4"/>
      <c r="E15" s="4">
        <v>121003</v>
      </c>
      <c r="F15" s="4"/>
      <c r="G15" s="4" t="s">
        <v>273</v>
      </c>
      <c r="H15" s="71">
        <v>590000</v>
      </c>
      <c r="I15" s="71">
        <v>323547</v>
      </c>
      <c r="J15" s="208">
        <f t="shared" si="0"/>
        <v>54.83847457627119</v>
      </c>
    </row>
    <row r="16" spans="2:10" ht="12.75">
      <c r="B16" s="249">
        <f t="shared" si="1"/>
        <v>11</v>
      </c>
      <c r="C16" s="19">
        <v>130</v>
      </c>
      <c r="D16" s="6"/>
      <c r="E16" s="6"/>
      <c r="F16" s="6"/>
      <c r="G16" s="6" t="s">
        <v>275</v>
      </c>
      <c r="H16" s="69">
        <f>H17</f>
        <v>2763000</v>
      </c>
      <c r="I16" s="69">
        <f>I17</f>
        <v>1643159</v>
      </c>
      <c r="J16" s="208">
        <f t="shared" si="0"/>
        <v>59.47010495837858</v>
      </c>
    </row>
    <row r="17" spans="2:10" ht="12.75">
      <c r="B17" s="249">
        <f t="shared" si="1"/>
        <v>12</v>
      </c>
      <c r="C17" s="20"/>
      <c r="D17" s="3">
        <v>133</v>
      </c>
      <c r="E17" s="3"/>
      <c r="F17" s="3"/>
      <c r="G17" s="3" t="s">
        <v>276</v>
      </c>
      <c r="H17" s="70">
        <f>SUM(H18:H21)</f>
        <v>2763000</v>
      </c>
      <c r="I17" s="70">
        <f>SUM(I18:I21)</f>
        <v>1643159</v>
      </c>
      <c r="J17" s="208">
        <f t="shared" si="0"/>
        <v>59.47010495837858</v>
      </c>
    </row>
    <row r="18" spans="2:10" ht="12.75">
      <c r="B18" s="249">
        <f t="shared" si="1"/>
        <v>13</v>
      </c>
      <c r="C18" s="4"/>
      <c r="D18" s="4"/>
      <c r="E18" s="4">
        <v>133001</v>
      </c>
      <c r="F18" s="4"/>
      <c r="G18" s="4" t="s">
        <v>274</v>
      </c>
      <c r="H18" s="71">
        <v>53000</v>
      </c>
      <c r="I18" s="71">
        <v>25777</v>
      </c>
      <c r="J18" s="208">
        <f t="shared" si="0"/>
        <v>48.635849056603774</v>
      </c>
    </row>
    <row r="19" spans="2:10" ht="12.75">
      <c r="B19" s="249">
        <f t="shared" si="1"/>
        <v>14</v>
      </c>
      <c r="C19" s="4"/>
      <c r="D19" s="4"/>
      <c r="E19" s="4">
        <v>133006</v>
      </c>
      <c r="F19" s="4"/>
      <c r="G19" s="4" t="s">
        <v>277</v>
      </c>
      <c r="H19" s="71">
        <v>100000</v>
      </c>
      <c r="I19" s="71">
        <v>36551</v>
      </c>
      <c r="J19" s="208">
        <f t="shared" si="0"/>
        <v>36.551</v>
      </c>
    </row>
    <row r="20" spans="2:10" ht="12.75">
      <c r="B20" s="249">
        <f t="shared" si="1"/>
        <v>15</v>
      </c>
      <c r="C20" s="4"/>
      <c r="D20" s="4"/>
      <c r="E20" s="4">
        <v>133012</v>
      </c>
      <c r="F20" s="4"/>
      <c r="G20" s="4" t="s">
        <v>278</v>
      </c>
      <c r="H20" s="71">
        <v>60000</v>
      </c>
      <c r="I20" s="71">
        <v>60391</v>
      </c>
      <c r="J20" s="208">
        <f t="shared" si="0"/>
        <v>100.65166666666667</v>
      </c>
    </row>
    <row r="21" spans="2:10" ht="12.75">
      <c r="B21" s="249">
        <f t="shared" si="1"/>
        <v>16</v>
      </c>
      <c r="C21" s="4"/>
      <c r="D21" s="4"/>
      <c r="E21" s="4">
        <v>133013</v>
      </c>
      <c r="F21" s="4"/>
      <c r="G21" s="4" t="s">
        <v>279</v>
      </c>
      <c r="H21" s="71">
        <f>2350000+200000</f>
        <v>2550000</v>
      </c>
      <c r="I21" s="71">
        <v>1520440</v>
      </c>
      <c r="J21" s="208">
        <f t="shared" si="0"/>
        <v>59.625098039215686</v>
      </c>
    </row>
    <row r="22" spans="2:10" ht="16.5" thickBot="1">
      <c r="B22" s="249">
        <f t="shared" si="1"/>
        <v>17</v>
      </c>
      <c r="C22" s="10">
        <v>200</v>
      </c>
      <c r="D22" s="10"/>
      <c r="E22" s="10"/>
      <c r="F22" s="10"/>
      <c r="G22" s="10" t="s">
        <v>166</v>
      </c>
      <c r="H22" s="67">
        <f>H23+H49+H53+H124+H131+H235+H292+H304+H316+H325+H334+H343+H355+H364+H376</f>
        <v>5913228</v>
      </c>
      <c r="I22" s="67">
        <f>I23+I49+I53+I124+I131+I235+I292+I304+I316+I325+I334+I343+I355+I364+I376</f>
        <v>2426380</v>
      </c>
      <c r="J22" s="208">
        <f t="shared" si="0"/>
        <v>41.03308717336792</v>
      </c>
    </row>
    <row r="23" spans="2:10" ht="15.75" thickBot="1">
      <c r="B23" s="249">
        <f t="shared" si="1"/>
        <v>18</v>
      </c>
      <c r="C23" s="11"/>
      <c r="D23" s="11"/>
      <c r="E23" s="11"/>
      <c r="F23" s="11"/>
      <c r="G23" s="11" t="s">
        <v>35</v>
      </c>
      <c r="H23" s="68">
        <f>H24+H29+H40+H43</f>
        <v>2354790</v>
      </c>
      <c r="I23" s="68">
        <f>I24+I29+I40+I43</f>
        <v>1191293</v>
      </c>
      <c r="J23" s="208">
        <f t="shared" si="0"/>
        <v>50.590201249368306</v>
      </c>
    </row>
    <row r="24" spans="2:10" ht="12.75">
      <c r="B24" s="249">
        <f t="shared" si="1"/>
        <v>19</v>
      </c>
      <c r="C24" s="6">
        <v>210</v>
      </c>
      <c r="D24" s="6"/>
      <c r="E24" s="6"/>
      <c r="F24" s="6"/>
      <c r="G24" s="6" t="s">
        <v>245</v>
      </c>
      <c r="H24" s="69">
        <f>H25</f>
        <v>601490</v>
      </c>
      <c r="I24" s="69">
        <f>I25</f>
        <v>297000</v>
      </c>
      <c r="J24" s="208">
        <f t="shared" si="0"/>
        <v>49.377379507556235</v>
      </c>
    </row>
    <row r="25" spans="2:10" ht="12.75">
      <c r="B25" s="249">
        <f t="shared" si="1"/>
        <v>20</v>
      </c>
      <c r="C25" s="3"/>
      <c r="D25" s="3">
        <v>212</v>
      </c>
      <c r="E25" s="3"/>
      <c r="F25" s="3"/>
      <c r="G25" s="3" t="s">
        <v>246</v>
      </c>
      <c r="H25" s="70">
        <f>SUM(H26:H27)</f>
        <v>601490</v>
      </c>
      <c r="I25" s="70">
        <f>SUM(I26:I28)</f>
        <v>297000</v>
      </c>
      <c r="J25" s="208">
        <f t="shared" si="0"/>
        <v>49.377379507556235</v>
      </c>
    </row>
    <row r="26" spans="2:10" ht="12.75">
      <c r="B26" s="249">
        <f t="shared" si="1"/>
        <v>21</v>
      </c>
      <c r="C26" s="4"/>
      <c r="D26" s="4"/>
      <c r="E26" s="4">
        <v>212002</v>
      </c>
      <c r="F26" s="4"/>
      <c r="G26" s="4" t="s">
        <v>280</v>
      </c>
      <c r="H26" s="71">
        <v>88000</v>
      </c>
      <c r="I26" s="71">
        <v>65050</v>
      </c>
      <c r="J26" s="208">
        <f t="shared" si="0"/>
        <v>73.92045454545455</v>
      </c>
    </row>
    <row r="27" spans="2:10" ht="12.75">
      <c r="B27" s="249">
        <f t="shared" si="1"/>
        <v>22</v>
      </c>
      <c r="C27" s="4"/>
      <c r="D27" s="4"/>
      <c r="E27" s="4">
        <v>212003</v>
      </c>
      <c r="F27" s="4"/>
      <c r="G27" s="4" t="s">
        <v>247</v>
      </c>
      <c r="H27" s="71">
        <v>513490</v>
      </c>
      <c r="I27" s="71">
        <v>229404</v>
      </c>
      <c r="J27" s="208">
        <f t="shared" si="0"/>
        <v>44.67545619194142</v>
      </c>
    </row>
    <row r="28" spans="2:10" ht="12.75">
      <c r="B28" s="249">
        <f t="shared" si="1"/>
        <v>23</v>
      </c>
      <c r="C28" s="4"/>
      <c r="D28" s="4"/>
      <c r="E28" s="4">
        <v>212004</v>
      </c>
      <c r="F28" s="4"/>
      <c r="G28" s="4" t="s">
        <v>248</v>
      </c>
      <c r="H28" s="71">
        <v>0</v>
      </c>
      <c r="I28" s="71">
        <v>2546</v>
      </c>
      <c r="J28" s="208">
        <v>0</v>
      </c>
    </row>
    <row r="29" spans="2:10" ht="12.75">
      <c r="B29" s="249">
        <f t="shared" si="1"/>
        <v>24</v>
      </c>
      <c r="C29" s="6">
        <v>220</v>
      </c>
      <c r="D29" s="6"/>
      <c r="E29" s="6"/>
      <c r="F29" s="6"/>
      <c r="G29" s="6" t="s">
        <v>219</v>
      </c>
      <c r="H29" s="69">
        <f>H30+H32+H34+H38</f>
        <v>1304300</v>
      </c>
      <c r="I29" s="69">
        <f>I30+I32+I34+I38</f>
        <v>605297</v>
      </c>
      <c r="J29" s="208">
        <f t="shared" si="0"/>
        <v>46.40780495284827</v>
      </c>
    </row>
    <row r="30" spans="2:10" ht="12.75">
      <c r="B30" s="249">
        <f t="shared" si="1"/>
        <v>25</v>
      </c>
      <c r="C30" s="3"/>
      <c r="D30" s="3">
        <v>221</v>
      </c>
      <c r="E30" s="3"/>
      <c r="F30" s="3"/>
      <c r="G30" s="3" t="s">
        <v>220</v>
      </c>
      <c r="H30" s="70">
        <f>H31</f>
        <v>175000</v>
      </c>
      <c r="I30" s="70">
        <f>I31</f>
        <v>78458</v>
      </c>
      <c r="J30" s="208">
        <f t="shared" si="0"/>
        <v>44.83314285714285</v>
      </c>
    </row>
    <row r="31" spans="2:10" ht="12.75">
      <c r="B31" s="249">
        <f t="shared" si="1"/>
        <v>26</v>
      </c>
      <c r="C31" s="4"/>
      <c r="D31" s="4"/>
      <c r="E31" s="4">
        <v>221004</v>
      </c>
      <c r="F31" s="4"/>
      <c r="G31" s="4" t="s">
        <v>221</v>
      </c>
      <c r="H31" s="71">
        <v>175000</v>
      </c>
      <c r="I31" s="71">
        <v>78458</v>
      </c>
      <c r="J31" s="208">
        <f t="shared" si="0"/>
        <v>44.83314285714285</v>
      </c>
    </row>
    <row r="32" spans="2:10" ht="12.75">
      <c r="B32" s="249">
        <f t="shared" si="1"/>
        <v>27</v>
      </c>
      <c r="C32" s="3"/>
      <c r="D32" s="3">
        <v>222</v>
      </c>
      <c r="E32" s="3"/>
      <c r="F32" s="3"/>
      <c r="G32" s="3" t="s">
        <v>52</v>
      </c>
      <c r="H32" s="70">
        <f>H33</f>
        <v>100000</v>
      </c>
      <c r="I32" s="70">
        <f>I33</f>
        <v>37283</v>
      </c>
      <c r="J32" s="208">
        <f t="shared" si="0"/>
        <v>37.283</v>
      </c>
    </row>
    <row r="33" spans="2:10" ht="12.75">
      <c r="B33" s="249">
        <f t="shared" si="1"/>
        <v>28</v>
      </c>
      <c r="C33" s="4"/>
      <c r="D33" s="4"/>
      <c r="E33" s="4">
        <v>222003</v>
      </c>
      <c r="F33" s="4"/>
      <c r="G33" s="4" t="s">
        <v>51</v>
      </c>
      <c r="H33" s="71">
        <v>100000</v>
      </c>
      <c r="I33" s="71">
        <v>37283</v>
      </c>
      <c r="J33" s="208">
        <f t="shared" si="0"/>
        <v>37.283</v>
      </c>
    </row>
    <row r="34" spans="2:10" ht="12.75">
      <c r="B34" s="249">
        <f t="shared" si="1"/>
        <v>29</v>
      </c>
      <c r="C34" s="3"/>
      <c r="D34" s="3">
        <v>223</v>
      </c>
      <c r="E34" s="3"/>
      <c r="F34" s="3"/>
      <c r="G34" s="3" t="s">
        <v>249</v>
      </c>
      <c r="H34" s="70">
        <f>H35+H36+H37</f>
        <v>1028700</v>
      </c>
      <c r="I34" s="70">
        <f>I35+I36+I37</f>
        <v>488977</v>
      </c>
      <c r="J34" s="208">
        <f t="shared" si="0"/>
        <v>47.53348886944688</v>
      </c>
    </row>
    <row r="35" spans="2:10" ht="12.75">
      <c r="B35" s="249">
        <f t="shared" si="1"/>
        <v>30</v>
      </c>
      <c r="C35" s="4"/>
      <c r="D35" s="4"/>
      <c r="E35" s="4">
        <v>223001</v>
      </c>
      <c r="F35" s="4"/>
      <c r="G35" s="4" t="s">
        <v>250</v>
      </c>
      <c r="H35" s="71">
        <v>1200</v>
      </c>
      <c r="I35" s="71">
        <f>61+86+118+13+63+22</f>
        <v>363</v>
      </c>
      <c r="J35" s="208">
        <f t="shared" si="0"/>
        <v>30.25</v>
      </c>
    </row>
    <row r="36" spans="2:10" ht="12.75">
      <c r="B36" s="249">
        <f t="shared" si="1"/>
        <v>31</v>
      </c>
      <c r="C36" s="4"/>
      <c r="D36" s="4"/>
      <c r="E36" s="4"/>
      <c r="F36" s="4"/>
      <c r="G36" s="14" t="s">
        <v>310</v>
      </c>
      <c r="H36" s="71">
        <v>1000000</v>
      </c>
      <c r="I36" s="71">
        <f>488977-I35-I37</f>
        <v>484962</v>
      </c>
      <c r="J36" s="208">
        <f t="shared" si="0"/>
        <v>48.4962</v>
      </c>
    </row>
    <row r="37" spans="2:10" ht="12.75">
      <c r="B37" s="249">
        <f t="shared" si="1"/>
        <v>32</v>
      </c>
      <c r="C37" s="4"/>
      <c r="D37" s="4"/>
      <c r="E37" s="4"/>
      <c r="F37" s="4"/>
      <c r="G37" s="14" t="s">
        <v>311</v>
      </c>
      <c r="H37" s="71">
        <v>27500</v>
      </c>
      <c r="I37" s="71">
        <v>3652</v>
      </c>
      <c r="J37" s="208">
        <f t="shared" si="0"/>
        <v>13.28</v>
      </c>
    </row>
    <row r="38" spans="2:10" ht="12.75">
      <c r="B38" s="249">
        <f t="shared" si="1"/>
        <v>33</v>
      </c>
      <c r="C38" s="3"/>
      <c r="D38" s="3">
        <v>229</v>
      </c>
      <c r="E38" s="3"/>
      <c r="F38" s="3"/>
      <c r="G38" s="3" t="s">
        <v>262</v>
      </c>
      <c r="H38" s="70">
        <f>H39</f>
        <v>600</v>
      </c>
      <c r="I38" s="70">
        <f>I39</f>
        <v>579</v>
      </c>
      <c r="J38" s="208">
        <f t="shared" si="0"/>
        <v>96.5</v>
      </c>
    </row>
    <row r="39" spans="2:10" ht="12.75">
      <c r="B39" s="249">
        <f t="shared" si="1"/>
        <v>34</v>
      </c>
      <c r="C39" s="4"/>
      <c r="D39" s="4"/>
      <c r="E39" s="4">
        <v>229005</v>
      </c>
      <c r="F39" s="4"/>
      <c r="G39" s="4" t="s">
        <v>263</v>
      </c>
      <c r="H39" s="71">
        <v>600</v>
      </c>
      <c r="I39" s="71">
        <v>579</v>
      </c>
      <c r="J39" s="208">
        <f t="shared" si="0"/>
        <v>96.5</v>
      </c>
    </row>
    <row r="40" spans="2:10" ht="12.75">
      <c r="B40" s="249">
        <f t="shared" si="1"/>
        <v>35</v>
      </c>
      <c r="C40" s="6">
        <v>240</v>
      </c>
      <c r="D40" s="6"/>
      <c r="E40" s="6"/>
      <c r="F40" s="6"/>
      <c r="G40" s="6" t="s">
        <v>171</v>
      </c>
      <c r="H40" s="69">
        <f>H41</f>
        <v>4000</v>
      </c>
      <c r="I40" s="69">
        <f>I41</f>
        <v>291</v>
      </c>
      <c r="J40" s="208">
        <f t="shared" si="0"/>
        <v>7.2749999999999995</v>
      </c>
    </row>
    <row r="41" spans="2:10" ht="12.75">
      <c r="B41" s="249">
        <f t="shared" si="1"/>
        <v>36</v>
      </c>
      <c r="C41" s="3"/>
      <c r="D41" s="3">
        <v>242</v>
      </c>
      <c r="E41" s="3"/>
      <c r="F41" s="3"/>
      <c r="G41" s="3" t="s">
        <v>170</v>
      </c>
      <c r="H41" s="70">
        <f>H42</f>
        <v>4000</v>
      </c>
      <c r="I41" s="70">
        <f>I42</f>
        <v>291</v>
      </c>
      <c r="J41" s="208">
        <f t="shared" si="0"/>
        <v>7.2749999999999995</v>
      </c>
    </row>
    <row r="42" spans="2:10" ht="12.75">
      <c r="B42" s="249">
        <f t="shared" si="1"/>
        <v>37</v>
      </c>
      <c r="C42" s="4"/>
      <c r="D42" s="4"/>
      <c r="E42" s="4">
        <v>242</v>
      </c>
      <c r="F42" s="4"/>
      <c r="G42" s="4" t="s">
        <v>170</v>
      </c>
      <c r="H42" s="71">
        <v>4000</v>
      </c>
      <c r="I42" s="71">
        <v>291</v>
      </c>
      <c r="J42" s="208">
        <f t="shared" si="0"/>
        <v>7.2749999999999995</v>
      </c>
    </row>
    <row r="43" spans="2:10" ht="12.75">
      <c r="B43" s="249">
        <f t="shared" si="1"/>
        <v>38</v>
      </c>
      <c r="C43" s="6">
        <v>290</v>
      </c>
      <c r="D43" s="6"/>
      <c r="E43" s="6"/>
      <c r="F43" s="6"/>
      <c r="G43" s="6" t="s">
        <v>173</v>
      </c>
      <c r="H43" s="69">
        <f>H44</f>
        <v>445000</v>
      </c>
      <c r="I43" s="69">
        <f>I44</f>
        <v>288705</v>
      </c>
      <c r="J43" s="208">
        <f t="shared" si="0"/>
        <v>64.87752808988763</v>
      </c>
    </row>
    <row r="44" spans="2:10" ht="12.75">
      <c r="B44" s="249">
        <f t="shared" si="1"/>
        <v>39</v>
      </c>
      <c r="C44" s="3"/>
      <c r="D44" s="3">
        <v>292</v>
      </c>
      <c r="E44" s="3"/>
      <c r="F44" s="3"/>
      <c r="G44" s="3" t="s">
        <v>174</v>
      </c>
      <c r="H44" s="70">
        <f>H45+H48</f>
        <v>445000</v>
      </c>
      <c r="I44" s="70">
        <f>SUM(I45:I48)</f>
        <v>288705</v>
      </c>
      <c r="J44" s="208">
        <f t="shared" si="0"/>
        <v>64.87752808988763</v>
      </c>
    </row>
    <row r="45" spans="2:10" ht="12.75">
      <c r="B45" s="249">
        <f t="shared" si="1"/>
        <v>40</v>
      </c>
      <c r="C45" s="4"/>
      <c r="D45" s="4"/>
      <c r="E45" s="4">
        <v>292008</v>
      </c>
      <c r="F45" s="4"/>
      <c r="G45" s="4" t="s">
        <v>175</v>
      </c>
      <c r="H45" s="71">
        <v>285000</v>
      </c>
      <c r="I45" s="71">
        <v>98840</v>
      </c>
      <c r="J45" s="208">
        <f t="shared" si="0"/>
        <v>34.680701754385964</v>
      </c>
    </row>
    <row r="46" spans="2:10" ht="12.75">
      <c r="B46" s="249">
        <f t="shared" si="1"/>
        <v>41</v>
      </c>
      <c r="C46" s="4"/>
      <c r="D46" s="4"/>
      <c r="E46" s="4">
        <v>292012</v>
      </c>
      <c r="F46" s="4"/>
      <c r="G46" s="4" t="s">
        <v>230</v>
      </c>
      <c r="H46" s="71">
        <v>0</v>
      </c>
      <c r="I46" s="71">
        <v>14514</v>
      </c>
      <c r="J46" s="208">
        <v>0</v>
      </c>
    </row>
    <row r="47" spans="2:10" ht="12.75">
      <c r="B47" s="249">
        <f t="shared" si="1"/>
        <v>42</v>
      </c>
      <c r="C47" s="4"/>
      <c r="D47" s="4"/>
      <c r="E47" s="4">
        <v>292017</v>
      </c>
      <c r="F47" s="4"/>
      <c r="G47" s="4" t="s">
        <v>231</v>
      </c>
      <c r="H47" s="71">
        <v>0</v>
      </c>
      <c r="I47" s="71">
        <v>37752</v>
      </c>
      <c r="J47" s="208">
        <v>0</v>
      </c>
    </row>
    <row r="48" spans="2:10" ht="13.5" thickBot="1">
      <c r="B48" s="249">
        <f t="shared" si="1"/>
        <v>43</v>
      </c>
      <c r="C48" s="4"/>
      <c r="D48" s="4"/>
      <c r="E48" s="4">
        <v>292027</v>
      </c>
      <c r="F48" s="4"/>
      <c r="G48" s="4" t="s">
        <v>224</v>
      </c>
      <c r="H48" s="71">
        <v>160000</v>
      </c>
      <c r="I48" s="71">
        <v>137599</v>
      </c>
      <c r="J48" s="208">
        <f t="shared" si="0"/>
        <v>85.999375</v>
      </c>
    </row>
    <row r="49" spans="2:10" ht="15.75" thickBot="1">
      <c r="B49" s="249">
        <f t="shared" si="1"/>
        <v>44</v>
      </c>
      <c r="C49" s="11">
        <v>1</v>
      </c>
      <c r="D49" s="11"/>
      <c r="E49" s="11"/>
      <c r="F49" s="11"/>
      <c r="G49" s="11" t="s">
        <v>45</v>
      </c>
      <c r="H49" s="68">
        <f aca="true" t="shared" si="2" ref="H49:I51">H50</f>
        <v>10000</v>
      </c>
      <c r="I49" s="68">
        <f t="shared" si="2"/>
        <v>11036</v>
      </c>
      <c r="J49" s="208">
        <f t="shared" si="0"/>
        <v>110.35999999999999</v>
      </c>
    </row>
    <row r="50" spans="2:10" ht="12.75">
      <c r="B50" s="249">
        <f t="shared" si="1"/>
        <v>45</v>
      </c>
      <c r="C50" s="6">
        <v>220</v>
      </c>
      <c r="D50" s="6"/>
      <c r="E50" s="6"/>
      <c r="F50" s="6"/>
      <c r="G50" s="15" t="s">
        <v>219</v>
      </c>
      <c r="H50" s="69">
        <f t="shared" si="2"/>
        <v>10000</v>
      </c>
      <c r="I50" s="69">
        <f t="shared" si="2"/>
        <v>11036</v>
      </c>
      <c r="J50" s="208">
        <f t="shared" si="0"/>
        <v>110.35999999999999</v>
      </c>
    </row>
    <row r="51" spans="2:10" ht="12.75">
      <c r="B51" s="249">
        <f t="shared" si="1"/>
        <v>46</v>
      </c>
      <c r="C51" s="3"/>
      <c r="D51" s="3">
        <v>223</v>
      </c>
      <c r="E51" s="3"/>
      <c r="F51" s="3"/>
      <c r="G51" s="3" t="s">
        <v>249</v>
      </c>
      <c r="H51" s="70">
        <f t="shared" si="2"/>
        <v>10000</v>
      </c>
      <c r="I51" s="70">
        <f t="shared" si="2"/>
        <v>11036</v>
      </c>
      <c r="J51" s="208">
        <f t="shared" si="0"/>
        <v>110.35999999999999</v>
      </c>
    </row>
    <row r="52" spans="2:10" ht="13.5" thickBot="1">
      <c r="B52" s="249">
        <f t="shared" si="1"/>
        <v>47</v>
      </c>
      <c r="C52" s="4"/>
      <c r="D52" s="4"/>
      <c r="E52" s="4">
        <v>223002</v>
      </c>
      <c r="F52" s="4"/>
      <c r="G52" s="4" t="s">
        <v>66</v>
      </c>
      <c r="H52" s="71">
        <v>10000</v>
      </c>
      <c r="I52" s="71">
        <v>11036</v>
      </c>
      <c r="J52" s="208">
        <f t="shared" si="0"/>
        <v>110.35999999999999</v>
      </c>
    </row>
    <row r="53" spans="2:10" ht="15.75" thickBot="1">
      <c r="B53" s="249">
        <f t="shared" si="1"/>
        <v>48</v>
      </c>
      <c r="C53" s="11">
        <v>2</v>
      </c>
      <c r="D53" s="11"/>
      <c r="E53" s="11"/>
      <c r="F53" s="11"/>
      <c r="G53" s="11" t="s">
        <v>15</v>
      </c>
      <c r="H53" s="68">
        <f>H54+H57+H62+H64+H69+H76+H84+H91+H98+H102+H109+H117</f>
        <v>699803</v>
      </c>
      <c r="I53" s="68">
        <f>I54+I57+I62+I64+I69+I76+I84+I91+I98+I102+I109+I117</f>
        <v>198979</v>
      </c>
      <c r="J53" s="208">
        <f t="shared" si="0"/>
        <v>28.433573448527653</v>
      </c>
    </row>
    <row r="54" spans="2:10" ht="12.75">
      <c r="B54" s="249">
        <f t="shared" si="1"/>
        <v>49</v>
      </c>
      <c r="C54" s="15">
        <v>210</v>
      </c>
      <c r="D54" s="15"/>
      <c r="E54" s="15"/>
      <c r="F54" s="15"/>
      <c r="G54" s="15" t="s">
        <v>245</v>
      </c>
      <c r="H54" s="73">
        <f>H55</f>
        <v>300</v>
      </c>
      <c r="I54" s="73">
        <f>I55</f>
        <v>0</v>
      </c>
      <c r="J54" s="208">
        <f t="shared" si="0"/>
        <v>0</v>
      </c>
    </row>
    <row r="55" spans="2:10" ht="12.75">
      <c r="B55" s="249">
        <f t="shared" si="1"/>
        <v>50</v>
      </c>
      <c r="C55" s="14"/>
      <c r="D55" s="3">
        <v>212</v>
      </c>
      <c r="E55" s="3"/>
      <c r="F55" s="3"/>
      <c r="G55" s="3" t="s">
        <v>246</v>
      </c>
      <c r="H55" s="70">
        <f>H56</f>
        <v>300</v>
      </c>
      <c r="I55" s="70">
        <f>I56</f>
        <v>0</v>
      </c>
      <c r="J55" s="208">
        <f t="shared" si="0"/>
        <v>0</v>
      </c>
    </row>
    <row r="56" spans="2:10" ht="12.75">
      <c r="B56" s="249">
        <f t="shared" si="1"/>
        <v>51</v>
      </c>
      <c r="C56" s="14"/>
      <c r="D56" s="14"/>
      <c r="E56" s="14">
        <v>212003</v>
      </c>
      <c r="F56" s="14"/>
      <c r="G56" s="14" t="s">
        <v>247</v>
      </c>
      <c r="H56" s="74">
        <v>300</v>
      </c>
      <c r="I56" s="74">
        <v>0</v>
      </c>
      <c r="J56" s="208">
        <f t="shared" si="0"/>
        <v>0</v>
      </c>
    </row>
    <row r="57" spans="2:10" ht="12.75">
      <c r="B57" s="249">
        <f t="shared" si="1"/>
        <v>52</v>
      </c>
      <c r="C57" s="15">
        <v>220</v>
      </c>
      <c r="D57" s="15"/>
      <c r="E57" s="15"/>
      <c r="F57" s="15"/>
      <c r="G57" s="15" t="s">
        <v>219</v>
      </c>
      <c r="H57" s="73">
        <f>H58+H60</f>
        <v>4150</v>
      </c>
      <c r="I57" s="73">
        <f>I58+I60</f>
        <v>445</v>
      </c>
      <c r="J57" s="208">
        <f t="shared" si="0"/>
        <v>10.72289156626506</v>
      </c>
    </row>
    <row r="58" spans="2:10" ht="12.75">
      <c r="B58" s="249">
        <f t="shared" si="1"/>
        <v>53</v>
      </c>
      <c r="C58" s="14"/>
      <c r="D58" s="3">
        <v>222</v>
      </c>
      <c r="E58" s="3"/>
      <c r="F58" s="3"/>
      <c r="G58" s="3" t="s">
        <v>52</v>
      </c>
      <c r="H58" s="70">
        <f>H59</f>
        <v>50</v>
      </c>
      <c r="I58" s="70">
        <f>I59</f>
        <v>102</v>
      </c>
      <c r="J58" s="208">
        <f t="shared" si="0"/>
        <v>204</v>
      </c>
    </row>
    <row r="59" spans="2:10" ht="12.75">
      <c r="B59" s="249">
        <f t="shared" si="1"/>
        <v>54</v>
      </c>
      <c r="C59" s="14"/>
      <c r="D59" s="14"/>
      <c r="E59" s="14">
        <v>222003</v>
      </c>
      <c r="F59" s="14"/>
      <c r="G59" s="14" t="s">
        <v>51</v>
      </c>
      <c r="H59" s="74">
        <v>50</v>
      </c>
      <c r="I59" s="74">
        <v>102</v>
      </c>
      <c r="J59" s="208">
        <f t="shared" si="0"/>
        <v>204</v>
      </c>
    </row>
    <row r="60" spans="2:10" ht="12.75">
      <c r="B60" s="249">
        <f t="shared" si="1"/>
        <v>55</v>
      </c>
      <c r="C60" s="14"/>
      <c r="D60" s="9">
        <v>223</v>
      </c>
      <c r="E60" s="9"/>
      <c r="F60" s="9"/>
      <c r="G60" s="9" t="s">
        <v>249</v>
      </c>
      <c r="H60" s="72">
        <f>H61</f>
        <v>4100</v>
      </c>
      <c r="I60" s="72">
        <f>I61</f>
        <v>343</v>
      </c>
      <c r="J60" s="208">
        <f t="shared" si="0"/>
        <v>8.365853658536587</v>
      </c>
    </row>
    <row r="61" spans="2:10" ht="12.75">
      <c r="B61" s="249">
        <f t="shared" si="1"/>
        <v>56</v>
      </c>
      <c r="C61" s="14"/>
      <c r="D61" s="14"/>
      <c r="E61" s="14">
        <v>223001</v>
      </c>
      <c r="F61" s="14"/>
      <c r="G61" s="14" t="s">
        <v>250</v>
      </c>
      <c r="H61" s="74">
        <f>5100-1000</f>
        <v>4100</v>
      </c>
      <c r="I61" s="74">
        <v>343</v>
      </c>
      <c r="J61" s="208">
        <f t="shared" si="0"/>
        <v>8.365853658536587</v>
      </c>
    </row>
    <row r="62" spans="2:10" ht="12.75">
      <c r="B62" s="249">
        <f t="shared" si="1"/>
        <v>57</v>
      </c>
      <c r="C62" s="15">
        <v>240</v>
      </c>
      <c r="D62" s="15"/>
      <c r="E62" s="15"/>
      <c r="F62" s="15"/>
      <c r="G62" s="15" t="s">
        <v>171</v>
      </c>
      <c r="H62" s="73">
        <f>H63</f>
        <v>50</v>
      </c>
      <c r="I62" s="73">
        <f>I63</f>
        <v>0</v>
      </c>
      <c r="J62" s="208">
        <f t="shared" si="0"/>
        <v>0</v>
      </c>
    </row>
    <row r="63" spans="2:10" ht="12.75">
      <c r="B63" s="249">
        <f t="shared" si="1"/>
        <v>58</v>
      </c>
      <c r="C63" s="14"/>
      <c r="D63" s="14">
        <v>242</v>
      </c>
      <c r="E63" s="14"/>
      <c r="F63" s="14"/>
      <c r="G63" s="14" t="s">
        <v>170</v>
      </c>
      <c r="H63" s="74">
        <v>50</v>
      </c>
      <c r="I63" s="74">
        <v>0</v>
      </c>
      <c r="J63" s="208">
        <f t="shared" si="0"/>
        <v>0</v>
      </c>
    </row>
    <row r="64" spans="2:10" ht="12.75">
      <c r="B64" s="249">
        <f t="shared" si="1"/>
        <v>59</v>
      </c>
      <c r="C64" s="15">
        <v>290</v>
      </c>
      <c r="D64" s="15"/>
      <c r="E64" s="15"/>
      <c r="F64" s="15"/>
      <c r="G64" s="15" t="s">
        <v>173</v>
      </c>
      <c r="H64" s="73">
        <f>H65</f>
        <v>1350</v>
      </c>
      <c r="I64" s="73">
        <f>I65</f>
        <v>8774</v>
      </c>
      <c r="J64" s="208">
        <f t="shared" si="0"/>
        <v>649.9259259259259</v>
      </c>
    </row>
    <row r="65" spans="2:10" ht="12.75">
      <c r="B65" s="249">
        <f t="shared" si="1"/>
        <v>60</v>
      </c>
      <c r="C65" s="4"/>
      <c r="D65" s="3">
        <v>292</v>
      </c>
      <c r="E65" s="3"/>
      <c r="F65" s="3"/>
      <c r="G65" s="3" t="s">
        <v>174</v>
      </c>
      <c r="H65" s="70">
        <f>SUM(H66:H68)</f>
        <v>1350</v>
      </c>
      <c r="I65" s="70">
        <f>SUM(I66:I68)</f>
        <v>8774</v>
      </c>
      <c r="J65" s="208">
        <f t="shared" si="0"/>
        <v>649.9259259259259</v>
      </c>
    </row>
    <row r="66" spans="2:10" ht="12.75">
      <c r="B66" s="249">
        <f t="shared" si="1"/>
        <v>61</v>
      </c>
      <c r="C66" s="5"/>
      <c r="D66" s="14"/>
      <c r="E66" s="14">
        <v>292012</v>
      </c>
      <c r="F66" s="14"/>
      <c r="G66" s="14" t="s">
        <v>230</v>
      </c>
      <c r="H66" s="74">
        <v>1000</v>
      </c>
      <c r="I66" s="74">
        <v>8518</v>
      </c>
      <c r="J66" s="208">
        <f t="shared" si="0"/>
        <v>851.8000000000001</v>
      </c>
    </row>
    <row r="67" spans="2:10" ht="12.75">
      <c r="B67" s="249">
        <f t="shared" si="1"/>
        <v>62</v>
      </c>
      <c r="C67" s="5"/>
      <c r="D67" s="14"/>
      <c r="E67" s="14">
        <v>292017</v>
      </c>
      <c r="F67" s="14"/>
      <c r="G67" s="14" t="s">
        <v>231</v>
      </c>
      <c r="H67" s="74">
        <v>50</v>
      </c>
      <c r="I67" s="74">
        <v>50</v>
      </c>
      <c r="J67" s="208">
        <f t="shared" si="0"/>
        <v>100</v>
      </c>
    </row>
    <row r="68" spans="2:10" ht="12.75">
      <c r="B68" s="249">
        <f t="shared" si="1"/>
        <v>63</v>
      </c>
      <c r="C68" s="5"/>
      <c r="D68" s="14"/>
      <c r="E68" s="14">
        <v>292027</v>
      </c>
      <c r="F68" s="14"/>
      <c r="G68" s="14" t="s">
        <v>224</v>
      </c>
      <c r="H68" s="74">
        <v>300</v>
      </c>
      <c r="I68" s="74">
        <v>206</v>
      </c>
      <c r="J68" s="208">
        <f t="shared" si="0"/>
        <v>68.66666666666667</v>
      </c>
    </row>
    <row r="69" spans="2:10" ht="12.75">
      <c r="B69" s="249">
        <f t="shared" si="1"/>
        <v>64</v>
      </c>
      <c r="C69" s="6"/>
      <c r="D69" s="6"/>
      <c r="E69" s="6"/>
      <c r="F69" s="6"/>
      <c r="G69" s="6" t="s">
        <v>43</v>
      </c>
      <c r="H69" s="69">
        <f>H70+H73</f>
        <v>170000</v>
      </c>
      <c r="I69" s="69">
        <f>I70+I73</f>
        <v>52632</v>
      </c>
      <c r="J69" s="208">
        <f t="shared" si="0"/>
        <v>30.959999999999997</v>
      </c>
    </row>
    <row r="70" spans="2:10" ht="12.75">
      <c r="B70" s="249">
        <f t="shared" si="1"/>
        <v>65</v>
      </c>
      <c r="C70" s="3">
        <v>210</v>
      </c>
      <c r="D70" s="3"/>
      <c r="E70" s="3"/>
      <c r="F70" s="3"/>
      <c r="G70" s="3" t="s">
        <v>245</v>
      </c>
      <c r="H70" s="70">
        <f>H71</f>
        <v>12000</v>
      </c>
      <c r="I70" s="70">
        <f>I71</f>
        <v>4887</v>
      </c>
      <c r="J70" s="208">
        <f t="shared" si="0"/>
        <v>40.725</v>
      </c>
    </row>
    <row r="71" spans="2:10" ht="12.75">
      <c r="B71" s="249">
        <f t="shared" si="1"/>
        <v>66</v>
      </c>
      <c r="C71" s="4"/>
      <c r="D71" s="4">
        <v>212</v>
      </c>
      <c r="E71" s="4"/>
      <c r="F71" s="4"/>
      <c r="G71" s="4" t="s">
        <v>246</v>
      </c>
      <c r="H71" s="71">
        <f>H72</f>
        <v>12000</v>
      </c>
      <c r="I71" s="71">
        <f>I72</f>
        <v>4887</v>
      </c>
      <c r="J71" s="208">
        <f t="shared" si="0"/>
        <v>40.725</v>
      </c>
    </row>
    <row r="72" spans="2:10" ht="12.75">
      <c r="B72" s="249">
        <f t="shared" si="1"/>
        <v>67</v>
      </c>
      <c r="C72" s="5"/>
      <c r="D72" s="5"/>
      <c r="E72" s="14">
        <v>212003</v>
      </c>
      <c r="F72" s="14"/>
      <c r="G72" s="14" t="s">
        <v>247</v>
      </c>
      <c r="H72" s="74">
        <v>12000</v>
      </c>
      <c r="I72" s="74">
        <v>4887</v>
      </c>
      <c r="J72" s="208">
        <f t="shared" si="0"/>
        <v>40.725</v>
      </c>
    </row>
    <row r="73" spans="2:10" ht="12.75">
      <c r="B73" s="249">
        <f t="shared" si="1"/>
        <v>68</v>
      </c>
      <c r="C73" s="3">
        <v>220</v>
      </c>
      <c r="D73" s="3"/>
      <c r="E73" s="3"/>
      <c r="F73" s="3"/>
      <c r="G73" s="3" t="s">
        <v>219</v>
      </c>
      <c r="H73" s="70">
        <f>H74</f>
        <v>158000</v>
      </c>
      <c r="I73" s="70">
        <f>I74</f>
        <v>47745</v>
      </c>
      <c r="J73" s="208">
        <f aca="true" t="shared" si="3" ref="J73:J139">I73/H73*100</f>
        <v>30.218354430379748</v>
      </c>
    </row>
    <row r="74" spans="2:10" ht="12.75">
      <c r="B74" s="249">
        <f t="shared" si="1"/>
        <v>69</v>
      </c>
      <c r="C74" s="4"/>
      <c r="D74" s="4">
        <v>223</v>
      </c>
      <c r="E74" s="4"/>
      <c r="F74" s="4"/>
      <c r="G74" s="4" t="s">
        <v>249</v>
      </c>
      <c r="H74" s="71">
        <f>H75</f>
        <v>158000</v>
      </c>
      <c r="I74" s="71">
        <f>I75</f>
        <v>47745</v>
      </c>
      <c r="J74" s="208">
        <f t="shared" si="3"/>
        <v>30.218354430379748</v>
      </c>
    </row>
    <row r="75" spans="2:10" ht="12.75">
      <c r="B75" s="249">
        <f t="shared" si="1"/>
        <v>70</v>
      </c>
      <c r="C75" s="5"/>
      <c r="D75" s="5"/>
      <c r="E75" s="14">
        <v>223001</v>
      </c>
      <c r="F75" s="14"/>
      <c r="G75" s="14" t="s">
        <v>250</v>
      </c>
      <c r="H75" s="74">
        <v>158000</v>
      </c>
      <c r="I75" s="74">
        <v>47745</v>
      </c>
      <c r="J75" s="208">
        <f t="shared" si="3"/>
        <v>30.218354430379748</v>
      </c>
    </row>
    <row r="76" spans="2:10" ht="12.75">
      <c r="B76" s="249">
        <f aca="true" t="shared" si="4" ref="B76:B142">B75+1</f>
        <v>71</v>
      </c>
      <c r="C76" s="6"/>
      <c r="D76" s="6"/>
      <c r="E76" s="6"/>
      <c r="F76" s="6"/>
      <c r="G76" s="6" t="s">
        <v>416</v>
      </c>
      <c r="H76" s="69">
        <f>H77+H81</f>
        <v>229500</v>
      </c>
      <c r="I76" s="69">
        <f>I77+I81</f>
        <v>12131</v>
      </c>
      <c r="J76" s="208">
        <f t="shared" si="3"/>
        <v>5.285838779956427</v>
      </c>
    </row>
    <row r="77" spans="2:10" ht="12.75">
      <c r="B77" s="249">
        <f t="shared" si="4"/>
        <v>72</v>
      </c>
      <c r="C77" s="3">
        <v>210</v>
      </c>
      <c r="D77" s="3"/>
      <c r="E77" s="3"/>
      <c r="F77" s="3"/>
      <c r="G77" s="3" t="s">
        <v>245</v>
      </c>
      <c r="H77" s="70">
        <f>H78</f>
        <v>10500</v>
      </c>
      <c r="I77" s="70">
        <f>I78</f>
        <v>9341</v>
      </c>
      <c r="J77" s="208">
        <f t="shared" si="3"/>
        <v>88.96190476190476</v>
      </c>
    </row>
    <row r="78" spans="2:10" ht="12.75">
      <c r="B78" s="249">
        <f t="shared" si="4"/>
        <v>73</v>
      </c>
      <c r="C78" s="4"/>
      <c r="D78" s="4">
        <v>212</v>
      </c>
      <c r="E78" s="4"/>
      <c r="F78" s="4"/>
      <c r="G78" s="4" t="s">
        <v>246</v>
      </c>
      <c r="H78" s="71">
        <f>H79+H80</f>
        <v>10500</v>
      </c>
      <c r="I78" s="71">
        <f>I79+I80</f>
        <v>9341</v>
      </c>
      <c r="J78" s="208">
        <f t="shared" si="3"/>
        <v>88.96190476190476</v>
      </c>
    </row>
    <row r="79" spans="2:10" ht="12.75">
      <c r="B79" s="249">
        <f t="shared" si="4"/>
        <v>74</v>
      </c>
      <c r="C79" s="5"/>
      <c r="D79" s="5"/>
      <c r="E79" s="14">
        <v>212002</v>
      </c>
      <c r="F79" s="14"/>
      <c r="G79" s="14" t="s">
        <v>280</v>
      </c>
      <c r="H79" s="74">
        <v>7000</v>
      </c>
      <c r="I79" s="74">
        <v>7996</v>
      </c>
      <c r="J79" s="208">
        <f t="shared" si="3"/>
        <v>114.22857142857143</v>
      </c>
    </row>
    <row r="80" spans="2:10" ht="12.75">
      <c r="B80" s="249">
        <f t="shared" si="4"/>
        <v>75</v>
      </c>
      <c r="C80" s="5"/>
      <c r="D80" s="5"/>
      <c r="E80" s="14">
        <v>212003</v>
      </c>
      <c r="F80" s="14"/>
      <c r="G80" s="14" t="s">
        <v>247</v>
      </c>
      <c r="H80" s="74">
        <v>3500</v>
      </c>
      <c r="I80" s="74">
        <v>1345</v>
      </c>
      <c r="J80" s="208">
        <f t="shared" si="3"/>
        <v>38.42857142857143</v>
      </c>
    </row>
    <row r="81" spans="2:10" ht="12.75">
      <c r="B81" s="249">
        <f t="shared" si="4"/>
        <v>76</v>
      </c>
      <c r="C81" s="3">
        <v>220</v>
      </c>
      <c r="D81" s="3"/>
      <c r="E81" s="3"/>
      <c r="F81" s="3"/>
      <c r="G81" s="3" t="s">
        <v>219</v>
      </c>
      <c r="H81" s="70">
        <f>H82</f>
        <v>219000</v>
      </c>
      <c r="I81" s="70">
        <f>I82</f>
        <v>2790</v>
      </c>
      <c r="J81" s="208">
        <f t="shared" si="3"/>
        <v>1.273972602739726</v>
      </c>
    </row>
    <row r="82" spans="2:10" ht="12.75">
      <c r="B82" s="249">
        <f t="shared" si="4"/>
        <v>77</v>
      </c>
      <c r="C82" s="4"/>
      <c r="D82" s="4">
        <v>223</v>
      </c>
      <c r="E82" s="4"/>
      <c r="F82" s="4"/>
      <c r="G82" s="4" t="s">
        <v>249</v>
      </c>
      <c r="H82" s="71">
        <f>H83</f>
        <v>219000</v>
      </c>
      <c r="I82" s="71">
        <f>I83</f>
        <v>2790</v>
      </c>
      <c r="J82" s="208">
        <f t="shared" si="3"/>
        <v>1.273972602739726</v>
      </c>
    </row>
    <row r="83" spans="2:10" ht="12.75">
      <c r="B83" s="249">
        <f t="shared" si="4"/>
        <v>78</v>
      </c>
      <c r="C83" s="5"/>
      <c r="D83" s="5"/>
      <c r="E83" s="14">
        <v>223001</v>
      </c>
      <c r="F83" s="14"/>
      <c r="G83" s="14" t="s">
        <v>250</v>
      </c>
      <c r="H83" s="74">
        <v>219000</v>
      </c>
      <c r="I83" s="74">
        <v>2790</v>
      </c>
      <c r="J83" s="208">
        <f t="shared" si="3"/>
        <v>1.273972602739726</v>
      </c>
    </row>
    <row r="84" spans="2:10" ht="12.75">
      <c r="B84" s="249">
        <f t="shared" si="4"/>
        <v>79</v>
      </c>
      <c r="C84" s="6"/>
      <c r="D84" s="6"/>
      <c r="E84" s="6"/>
      <c r="F84" s="6"/>
      <c r="G84" s="6" t="s">
        <v>208</v>
      </c>
      <c r="H84" s="69">
        <f>H85+H88</f>
        <v>70003</v>
      </c>
      <c r="I84" s="69">
        <f>I85+I88</f>
        <v>22516</v>
      </c>
      <c r="J84" s="208">
        <f t="shared" si="3"/>
        <v>32.16433581417939</v>
      </c>
    </row>
    <row r="85" spans="2:10" ht="12.75">
      <c r="B85" s="249">
        <f t="shared" si="4"/>
        <v>80</v>
      </c>
      <c r="C85" s="3">
        <v>210</v>
      </c>
      <c r="D85" s="3"/>
      <c r="E85" s="3"/>
      <c r="F85" s="3"/>
      <c r="G85" s="3" t="s">
        <v>245</v>
      </c>
      <c r="H85" s="70">
        <f>H86</f>
        <v>50003</v>
      </c>
      <c r="I85" s="70">
        <f>I86</f>
        <v>15571</v>
      </c>
      <c r="J85" s="208">
        <f t="shared" si="3"/>
        <v>31.140131592104474</v>
      </c>
    </row>
    <row r="86" spans="2:10" ht="12.75">
      <c r="B86" s="249">
        <f t="shared" si="4"/>
        <v>81</v>
      </c>
      <c r="C86" s="4"/>
      <c r="D86" s="4">
        <v>212</v>
      </c>
      <c r="E86" s="4"/>
      <c r="F86" s="4"/>
      <c r="G86" s="4" t="s">
        <v>246</v>
      </c>
      <c r="H86" s="71">
        <f>H87</f>
        <v>50003</v>
      </c>
      <c r="I86" s="71">
        <f>I87</f>
        <v>15571</v>
      </c>
      <c r="J86" s="208">
        <f t="shared" si="3"/>
        <v>31.140131592104474</v>
      </c>
    </row>
    <row r="87" spans="2:10" ht="12.75">
      <c r="B87" s="249">
        <f t="shared" si="4"/>
        <v>82</v>
      </c>
      <c r="C87" s="5"/>
      <c r="D87" s="5"/>
      <c r="E87" s="5">
        <v>212003</v>
      </c>
      <c r="F87" s="5"/>
      <c r="G87" s="5" t="s">
        <v>247</v>
      </c>
      <c r="H87" s="75">
        <f>101747-51744</f>
        <v>50003</v>
      </c>
      <c r="I87" s="75">
        <v>15571</v>
      </c>
      <c r="J87" s="208">
        <f t="shared" si="3"/>
        <v>31.140131592104474</v>
      </c>
    </row>
    <row r="88" spans="2:10" ht="12.75">
      <c r="B88" s="249">
        <f t="shared" si="4"/>
        <v>83</v>
      </c>
      <c r="C88" s="3">
        <v>220</v>
      </c>
      <c r="D88" s="3"/>
      <c r="E88" s="3"/>
      <c r="F88" s="3"/>
      <c r="G88" s="3" t="s">
        <v>219</v>
      </c>
      <c r="H88" s="70">
        <f>H89</f>
        <v>20000</v>
      </c>
      <c r="I88" s="70">
        <f>I89</f>
        <v>6945</v>
      </c>
      <c r="J88" s="208">
        <f t="shared" si="3"/>
        <v>34.725</v>
      </c>
    </row>
    <row r="89" spans="2:10" ht="12.75">
      <c r="B89" s="249">
        <f t="shared" si="4"/>
        <v>84</v>
      </c>
      <c r="C89" s="4"/>
      <c r="D89" s="4">
        <v>223</v>
      </c>
      <c r="E89" s="4"/>
      <c r="F89" s="4"/>
      <c r="G89" s="4" t="s">
        <v>249</v>
      </c>
      <c r="H89" s="71">
        <f>H90</f>
        <v>20000</v>
      </c>
      <c r="I89" s="71">
        <f>I90</f>
        <v>6945</v>
      </c>
      <c r="J89" s="208">
        <f t="shared" si="3"/>
        <v>34.725</v>
      </c>
    </row>
    <row r="90" spans="2:10" ht="12.75">
      <c r="B90" s="249">
        <f t="shared" si="4"/>
        <v>85</v>
      </c>
      <c r="C90" s="5"/>
      <c r="D90" s="5"/>
      <c r="E90" s="5">
        <v>223001</v>
      </c>
      <c r="F90" s="5"/>
      <c r="G90" s="5" t="s">
        <v>250</v>
      </c>
      <c r="H90" s="76">
        <f>430823-410823</f>
        <v>20000</v>
      </c>
      <c r="I90" s="76">
        <v>6945</v>
      </c>
      <c r="J90" s="208">
        <f t="shared" si="3"/>
        <v>34.725</v>
      </c>
    </row>
    <row r="91" spans="2:10" ht="12.75">
      <c r="B91" s="249">
        <f t="shared" si="4"/>
        <v>86</v>
      </c>
      <c r="C91" s="6"/>
      <c r="D91" s="6"/>
      <c r="E91" s="6"/>
      <c r="F91" s="6"/>
      <c r="G91" s="6" t="s">
        <v>226</v>
      </c>
      <c r="H91" s="69">
        <f>H92+H95</f>
        <v>102500</v>
      </c>
      <c r="I91" s="69">
        <f>I92+I95</f>
        <v>21186</v>
      </c>
      <c r="J91" s="208">
        <f t="shared" si="3"/>
        <v>20.669268292682926</v>
      </c>
    </row>
    <row r="92" spans="2:10" ht="12.75">
      <c r="B92" s="249">
        <f t="shared" si="4"/>
        <v>87</v>
      </c>
      <c r="C92" s="3">
        <v>210</v>
      </c>
      <c r="D92" s="3"/>
      <c r="E92" s="3"/>
      <c r="F92" s="3"/>
      <c r="G92" s="3" t="s">
        <v>245</v>
      </c>
      <c r="H92" s="70">
        <f>H93</f>
        <v>2500</v>
      </c>
      <c r="I92" s="70">
        <f>I93</f>
        <v>0</v>
      </c>
      <c r="J92" s="208">
        <f t="shared" si="3"/>
        <v>0</v>
      </c>
    </row>
    <row r="93" spans="2:10" ht="12.75">
      <c r="B93" s="249">
        <f t="shared" si="4"/>
        <v>88</v>
      </c>
      <c r="C93" s="4"/>
      <c r="D93" s="4">
        <v>212</v>
      </c>
      <c r="E93" s="4"/>
      <c r="F93" s="4"/>
      <c r="G93" s="4" t="s">
        <v>246</v>
      </c>
      <c r="H93" s="71">
        <f>H94</f>
        <v>2500</v>
      </c>
      <c r="I93" s="71">
        <f>I94</f>
        <v>0</v>
      </c>
      <c r="J93" s="208">
        <f t="shared" si="3"/>
        <v>0</v>
      </c>
    </row>
    <row r="94" spans="2:10" ht="12.75">
      <c r="B94" s="249">
        <f t="shared" si="4"/>
        <v>89</v>
      </c>
      <c r="C94" s="5"/>
      <c r="D94" s="5"/>
      <c r="E94" s="5">
        <v>212004</v>
      </c>
      <c r="F94" s="5"/>
      <c r="G94" s="5" t="s">
        <v>248</v>
      </c>
      <c r="H94" s="75">
        <v>2500</v>
      </c>
      <c r="I94" s="75">
        <v>0</v>
      </c>
      <c r="J94" s="208">
        <f t="shared" si="3"/>
        <v>0</v>
      </c>
    </row>
    <row r="95" spans="2:10" ht="12.75">
      <c r="B95" s="249">
        <f t="shared" si="4"/>
        <v>90</v>
      </c>
      <c r="C95" s="3">
        <v>220</v>
      </c>
      <c r="D95" s="3"/>
      <c r="E95" s="3"/>
      <c r="F95" s="3"/>
      <c r="G95" s="3" t="s">
        <v>219</v>
      </c>
      <c r="H95" s="70">
        <f>H96</f>
        <v>100000</v>
      </c>
      <c r="I95" s="70">
        <f>I96</f>
        <v>21186</v>
      </c>
      <c r="J95" s="208">
        <f t="shared" si="3"/>
        <v>21.186</v>
      </c>
    </row>
    <row r="96" spans="2:10" ht="12.75">
      <c r="B96" s="249">
        <f t="shared" si="4"/>
        <v>91</v>
      </c>
      <c r="C96" s="4"/>
      <c r="D96" s="4">
        <v>223</v>
      </c>
      <c r="E96" s="4"/>
      <c r="F96" s="4"/>
      <c r="G96" s="4" t="s">
        <v>249</v>
      </c>
      <c r="H96" s="71">
        <f>H97</f>
        <v>100000</v>
      </c>
      <c r="I96" s="71">
        <f>I97</f>
        <v>21186</v>
      </c>
      <c r="J96" s="208">
        <f t="shared" si="3"/>
        <v>21.186</v>
      </c>
    </row>
    <row r="97" spans="2:10" ht="12.75">
      <c r="B97" s="249">
        <f t="shared" si="4"/>
        <v>92</v>
      </c>
      <c r="C97" s="5"/>
      <c r="D97" s="5"/>
      <c r="E97" s="5">
        <v>223001</v>
      </c>
      <c r="F97" s="5"/>
      <c r="G97" s="5" t="s">
        <v>250</v>
      </c>
      <c r="H97" s="75">
        <v>100000</v>
      </c>
      <c r="I97" s="75">
        <v>21186</v>
      </c>
      <c r="J97" s="208">
        <f t="shared" si="3"/>
        <v>21.186</v>
      </c>
    </row>
    <row r="98" spans="2:10" ht="12.75">
      <c r="B98" s="249">
        <f t="shared" si="4"/>
        <v>93</v>
      </c>
      <c r="C98" s="6"/>
      <c r="D98" s="6"/>
      <c r="E98" s="6"/>
      <c r="F98" s="6"/>
      <c r="G98" s="6" t="s">
        <v>214</v>
      </c>
      <c r="H98" s="69">
        <f aca="true" t="shared" si="5" ref="H98:I100">H99</f>
        <v>2000</v>
      </c>
      <c r="I98" s="69">
        <f t="shared" si="5"/>
        <v>7590</v>
      </c>
      <c r="J98" s="208">
        <f t="shared" si="3"/>
        <v>379.5</v>
      </c>
    </row>
    <row r="99" spans="2:10" ht="12.75">
      <c r="B99" s="249">
        <f t="shared" si="4"/>
        <v>94</v>
      </c>
      <c r="C99" s="3">
        <v>290</v>
      </c>
      <c r="D99" s="3"/>
      <c r="E99" s="3"/>
      <c r="F99" s="3"/>
      <c r="G99" s="3" t="s">
        <v>173</v>
      </c>
      <c r="H99" s="70">
        <f t="shared" si="5"/>
        <v>2000</v>
      </c>
      <c r="I99" s="70">
        <f t="shared" si="5"/>
        <v>7590</v>
      </c>
      <c r="J99" s="208">
        <f t="shared" si="3"/>
        <v>379.5</v>
      </c>
    </row>
    <row r="100" spans="2:10" ht="12.75">
      <c r="B100" s="249">
        <f t="shared" si="4"/>
        <v>95</v>
      </c>
      <c r="C100" s="4"/>
      <c r="D100" s="4">
        <v>292</v>
      </c>
      <c r="E100" s="4"/>
      <c r="F100" s="4"/>
      <c r="G100" s="4" t="s">
        <v>174</v>
      </c>
      <c r="H100" s="71">
        <f t="shared" si="5"/>
        <v>2000</v>
      </c>
      <c r="I100" s="71">
        <f t="shared" si="5"/>
        <v>7590</v>
      </c>
      <c r="J100" s="208">
        <f t="shared" si="3"/>
        <v>379.5</v>
      </c>
    </row>
    <row r="101" spans="2:10" ht="12.75">
      <c r="B101" s="249">
        <f t="shared" si="4"/>
        <v>96</v>
      </c>
      <c r="C101" s="5"/>
      <c r="D101" s="5"/>
      <c r="E101" s="5">
        <v>292006</v>
      </c>
      <c r="F101" s="5"/>
      <c r="G101" s="5" t="s">
        <v>172</v>
      </c>
      <c r="H101" s="75">
        <v>2000</v>
      </c>
      <c r="I101" s="75">
        <v>7590</v>
      </c>
      <c r="J101" s="208">
        <f t="shared" si="3"/>
        <v>379.5</v>
      </c>
    </row>
    <row r="102" spans="2:10" ht="12.75">
      <c r="B102" s="249">
        <f t="shared" si="4"/>
        <v>97</v>
      </c>
      <c r="C102" s="6"/>
      <c r="D102" s="6"/>
      <c r="E102" s="6"/>
      <c r="F102" s="6"/>
      <c r="G102" s="6" t="s">
        <v>41</v>
      </c>
      <c r="H102" s="69">
        <f>H103+H106</f>
        <v>12050</v>
      </c>
      <c r="I102" s="69">
        <f>I103+I106</f>
        <v>2900</v>
      </c>
      <c r="J102" s="208">
        <f t="shared" si="3"/>
        <v>24.066390041493776</v>
      </c>
    </row>
    <row r="103" spans="2:10" ht="12.75">
      <c r="B103" s="249">
        <f t="shared" si="4"/>
        <v>98</v>
      </c>
      <c r="C103" s="3">
        <v>210</v>
      </c>
      <c r="D103" s="3"/>
      <c r="E103" s="3"/>
      <c r="F103" s="3"/>
      <c r="G103" s="3" t="s">
        <v>245</v>
      </c>
      <c r="H103" s="70">
        <f>H104</f>
        <v>50</v>
      </c>
      <c r="I103" s="70">
        <f>I104</f>
        <v>18</v>
      </c>
      <c r="J103" s="208">
        <f t="shared" si="3"/>
        <v>36</v>
      </c>
    </row>
    <row r="104" spans="2:10" ht="12.75">
      <c r="B104" s="249">
        <f t="shared" si="4"/>
        <v>99</v>
      </c>
      <c r="C104" s="4"/>
      <c r="D104" s="4">
        <v>212</v>
      </c>
      <c r="E104" s="4"/>
      <c r="F104" s="4"/>
      <c r="G104" s="4" t="s">
        <v>246</v>
      </c>
      <c r="H104" s="71">
        <f>H105</f>
        <v>50</v>
      </c>
      <c r="I104" s="71">
        <f>I105</f>
        <v>18</v>
      </c>
      <c r="J104" s="208">
        <f t="shared" si="3"/>
        <v>36</v>
      </c>
    </row>
    <row r="105" spans="2:10" ht="12.75">
      <c r="B105" s="249">
        <f t="shared" si="4"/>
        <v>100</v>
      </c>
      <c r="C105" s="5"/>
      <c r="D105" s="5"/>
      <c r="E105" s="5">
        <v>212003</v>
      </c>
      <c r="F105" s="5"/>
      <c r="G105" s="5" t="s">
        <v>247</v>
      </c>
      <c r="H105" s="75">
        <v>50</v>
      </c>
      <c r="I105" s="75">
        <v>18</v>
      </c>
      <c r="J105" s="208">
        <f t="shared" si="3"/>
        <v>36</v>
      </c>
    </row>
    <row r="106" spans="2:10" ht="12.75">
      <c r="B106" s="249">
        <f t="shared" si="4"/>
        <v>101</v>
      </c>
      <c r="C106" s="3">
        <v>220</v>
      </c>
      <c r="D106" s="3"/>
      <c r="E106" s="3"/>
      <c r="F106" s="3"/>
      <c r="G106" s="3" t="s">
        <v>219</v>
      </c>
      <c r="H106" s="70">
        <f>H107</f>
        <v>12000</v>
      </c>
      <c r="I106" s="70">
        <f>I107</f>
        <v>2882</v>
      </c>
      <c r="J106" s="208">
        <f t="shared" si="3"/>
        <v>24.016666666666666</v>
      </c>
    </row>
    <row r="107" spans="2:10" ht="12.75">
      <c r="B107" s="249">
        <f t="shared" si="4"/>
        <v>102</v>
      </c>
      <c r="C107" s="4"/>
      <c r="D107" s="4">
        <v>223</v>
      </c>
      <c r="E107" s="4"/>
      <c r="F107" s="4"/>
      <c r="G107" s="4" t="s">
        <v>249</v>
      </c>
      <c r="H107" s="71">
        <f>H108</f>
        <v>12000</v>
      </c>
      <c r="I107" s="71">
        <f>I108</f>
        <v>2882</v>
      </c>
      <c r="J107" s="208">
        <f t="shared" si="3"/>
        <v>24.016666666666666</v>
      </c>
    </row>
    <row r="108" spans="2:10" ht="12.75">
      <c r="B108" s="249">
        <f t="shared" si="4"/>
        <v>103</v>
      </c>
      <c r="C108" s="5"/>
      <c r="D108" s="5"/>
      <c r="E108" s="5">
        <v>223001</v>
      </c>
      <c r="F108" s="5"/>
      <c r="G108" s="5" t="s">
        <v>250</v>
      </c>
      <c r="H108" s="75">
        <v>12000</v>
      </c>
      <c r="I108" s="75">
        <v>2882</v>
      </c>
      <c r="J108" s="208">
        <f t="shared" si="3"/>
        <v>24.016666666666666</v>
      </c>
    </row>
    <row r="109" spans="2:10" ht="12.75">
      <c r="B109" s="249">
        <f t="shared" si="4"/>
        <v>104</v>
      </c>
      <c r="C109" s="6"/>
      <c r="D109" s="6"/>
      <c r="E109" s="6"/>
      <c r="F109" s="6"/>
      <c r="G109" s="6" t="s">
        <v>42</v>
      </c>
      <c r="H109" s="69">
        <f>H110+H114</f>
        <v>101200</v>
      </c>
      <c r="I109" s="69">
        <f>I110+I114</f>
        <v>60041</v>
      </c>
      <c r="J109" s="208">
        <f t="shared" si="3"/>
        <v>59.32905138339921</v>
      </c>
    </row>
    <row r="110" spans="2:10" ht="12.75">
      <c r="B110" s="249">
        <f t="shared" si="4"/>
        <v>105</v>
      </c>
      <c r="C110" s="3">
        <v>210</v>
      </c>
      <c r="D110" s="3"/>
      <c r="E110" s="3"/>
      <c r="F110" s="3"/>
      <c r="G110" s="3" t="s">
        <v>245</v>
      </c>
      <c r="H110" s="70">
        <f>H111</f>
        <v>600</v>
      </c>
      <c r="I110" s="70">
        <f>I111</f>
        <v>92</v>
      </c>
      <c r="J110" s="208">
        <f t="shared" si="3"/>
        <v>15.333333333333332</v>
      </c>
    </row>
    <row r="111" spans="2:10" ht="12.75">
      <c r="B111" s="249">
        <f t="shared" si="4"/>
        <v>106</v>
      </c>
      <c r="C111" s="4"/>
      <c r="D111" s="4">
        <v>212</v>
      </c>
      <c r="E111" s="4"/>
      <c r="F111" s="4"/>
      <c r="G111" s="4" t="s">
        <v>246</v>
      </c>
      <c r="H111" s="71">
        <f>H112+H113</f>
        <v>600</v>
      </c>
      <c r="I111" s="71">
        <f>I112+I113</f>
        <v>92</v>
      </c>
      <c r="J111" s="208">
        <f t="shared" si="3"/>
        <v>15.333333333333332</v>
      </c>
    </row>
    <row r="112" spans="2:10" ht="12.75">
      <c r="B112" s="249">
        <f t="shared" si="4"/>
        <v>107</v>
      </c>
      <c r="C112" s="5"/>
      <c r="D112" s="5"/>
      <c r="E112" s="5">
        <v>212002</v>
      </c>
      <c r="F112" s="5"/>
      <c r="G112" s="5" t="s">
        <v>280</v>
      </c>
      <c r="H112" s="75">
        <v>200</v>
      </c>
      <c r="I112" s="75">
        <v>92</v>
      </c>
      <c r="J112" s="208">
        <f t="shared" si="3"/>
        <v>46</v>
      </c>
    </row>
    <row r="113" spans="2:10" ht="12.75">
      <c r="B113" s="249">
        <f t="shared" si="4"/>
        <v>108</v>
      </c>
      <c r="C113" s="5"/>
      <c r="D113" s="5"/>
      <c r="E113" s="5">
        <v>212003</v>
      </c>
      <c r="F113" s="5"/>
      <c r="G113" s="5" t="s">
        <v>247</v>
      </c>
      <c r="H113" s="75">
        <v>400</v>
      </c>
      <c r="I113" s="75">
        <v>0</v>
      </c>
      <c r="J113" s="208">
        <f t="shared" si="3"/>
        <v>0</v>
      </c>
    </row>
    <row r="114" spans="2:10" ht="12.75">
      <c r="B114" s="249">
        <f t="shared" si="4"/>
        <v>109</v>
      </c>
      <c r="C114" s="3">
        <v>220</v>
      </c>
      <c r="D114" s="3"/>
      <c r="E114" s="3"/>
      <c r="F114" s="3"/>
      <c r="G114" s="3" t="s">
        <v>219</v>
      </c>
      <c r="H114" s="70">
        <f>H115</f>
        <v>100600</v>
      </c>
      <c r="I114" s="70">
        <f>I115</f>
        <v>59949</v>
      </c>
      <c r="J114" s="208">
        <f t="shared" si="3"/>
        <v>59.591451292246525</v>
      </c>
    </row>
    <row r="115" spans="2:10" ht="12.75">
      <c r="B115" s="249">
        <f t="shared" si="4"/>
        <v>110</v>
      </c>
      <c r="C115" s="4"/>
      <c r="D115" s="4">
        <v>223</v>
      </c>
      <c r="E115" s="4"/>
      <c r="F115" s="4"/>
      <c r="G115" s="4" t="s">
        <v>249</v>
      </c>
      <c r="H115" s="71">
        <f>H116</f>
        <v>100600</v>
      </c>
      <c r="I115" s="71">
        <f>I116</f>
        <v>59949</v>
      </c>
      <c r="J115" s="208">
        <f t="shared" si="3"/>
        <v>59.591451292246525</v>
      </c>
    </row>
    <row r="116" spans="2:10" ht="12.75">
      <c r="B116" s="249">
        <f t="shared" si="4"/>
        <v>111</v>
      </c>
      <c r="C116" s="5"/>
      <c r="D116" s="5"/>
      <c r="E116" s="5">
        <v>223001</v>
      </c>
      <c r="F116" s="5"/>
      <c r="G116" s="5" t="s">
        <v>250</v>
      </c>
      <c r="H116" s="75">
        <v>100600</v>
      </c>
      <c r="I116" s="75">
        <v>59949</v>
      </c>
      <c r="J116" s="208">
        <f t="shared" si="3"/>
        <v>59.591451292246525</v>
      </c>
    </row>
    <row r="117" spans="2:10" ht="12.75">
      <c r="B117" s="249">
        <f t="shared" si="4"/>
        <v>112</v>
      </c>
      <c r="C117" s="6"/>
      <c r="D117" s="6"/>
      <c r="E117" s="6"/>
      <c r="F117" s="6"/>
      <c r="G117" s="6" t="s">
        <v>44</v>
      </c>
      <c r="H117" s="69">
        <f>H118+H121</f>
        <v>6700</v>
      </c>
      <c r="I117" s="69">
        <f>I118+I121</f>
        <v>10764</v>
      </c>
      <c r="J117" s="208">
        <f t="shared" si="3"/>
        <v>160.65671641791045</v>
      </c>
    </row>
    <row r="118" spans="2:10" ht="12.75">
      <c r="B118" s="249">
        <f t="shared" si="4"/>
        <v>113</v>
      </c>
      <c r="C118" s="3">
        <v>210</v>
      </c>
      <c r="D118" s="3"/>
      <c r="E118" s="3"/>
      <c r="F118" s="3"/>
      <c r="G118" s="3" t="s">
        <v>245</v>
      </c>
      <c r="H118" s="70">
        <f>H119</f>
        <v>700</v>
      </c>
      <c r="I118" s="70">
        <f>I119</f>
        <v>200</v>
      </c>
      <c r="J118" s="208">
        <f t="shared" si="3"/>
        <v>28.57142857142857</v>
      </c>
    </row>
    <row r="119" spans="2:10" ht="12.75">
      <c r="B119" s="249">
        <f t="shared" si="4"/>
        <v>114</v>
      </c>
      <c r="C119" s="4"/>
      <c r="D119" s="4">
        <v>212</v>
      </c>
      <c r="E119" s="4"/>
      <c r="F119" s="4"/>
      <c r="G119" s="4" t="s">
        <v>246</v>
      </c>
      <c r="H119" s="71">
        <f>H120</f>
        <v>700</v>
      </c>
      <c r="I119" s="71">
        <f>I120</f>
        <v>200</v>
      </c>
      <c r="J119" s="208">
        <f t="shared" si="3"/>
        <v>28.57142857142857</v>
      </c>
    </row>
    <row r="120" spans="2:10" ht="12.75">
      <c r="B120" s="249">
        <f t="shared" si="4"/>
        <v>115</v>
      </c>
      <c r="C120" s="5"/>
      <c r="D120" s="5"/>
      <c r="E120" s="5">
        <v>212002</v>
      </c>
      <c r="F120" s="5"/>
      <c r="G120" s="5" t="s">
        <v>280</v>
      </c>
      <c r="H120" s="75">
        <v>700</v>
      </c>
      <c r="I120" s="75">
        <v>200</v>
      </c>
      <c r="J120" s="208">
        <f t="shared" si="3"/>
        <v>28.57142857142857</v>
      </c>
    </row>
    <row r="121" spans="2:10" ht="12.75">
      <c r="B121" s="249">
        <f t="shared" si="4"/>
        <v>116</v>
      </c>
      <c r="C121" s="3">
        <v>220</v>
      </c>
      <c r="D121" s="3"/>
      <c r="E121" s="3"/>
      <c r="F121" s="3"/>
      <c r="G121" s="3" t="s">
        <v>219</v>
      </c>
      <c r="H121" s="70">
        <f>H122</f>
        <v>6000</v>
      </c>
      <c r="I121" s="70">
        <f>I122</f>
        <v>10564</v>
      </c>
      <c r="J121" s="208">
        <f t="shared" si="3"/>
        <v>176.06666666666666</v>
      </c>
    </row>
    <row r="122" spans="2:10" ht="12.75">
      <c r="B122" s="249">
        <f t="shared" si="4"/>
        <v>117</v>
      </c>
      <c r="C122" s="4"/>
      <c r="D122" s="4">
        <v>223</v>
      </c>
      <c r="E122" s="4"/>
      <c r="F122" s="4"/>
      <c r="G122" s="4" t="s">
        <v>249</v>
      </c>
      <c r="H122" s="71">
        <f>H123</f>
        <v>6000</v>
      </c>
      <c r="I122" s="71">
        <f>I123</f>
        <v>10564</v>
      </c>
      <c r="J122" s="208">
        <f t="shared" si="3"/>
        <v>176.06666666666666</v>
      </c>
    </row>
    <row r="123" spans="2:10" ht="13.5" thickBot="1">
      <c r="B123" s="249">
        <f t="shared" si="4"/>
        <v>118</v>
      </c>
      <c r="C123" s="5"/>
      <c r="D123" s="5"/>
      <c r="E123" s="5">
        <v>223001</v>
      </c>
      <c r="F123" s="5"/>
      <c r="G123" s="5" t="s">
        <v>250</v>
      </c>
      <c r="H123" s="75">
        <v>6000</v>
      </c>
      <c r="I123" s="75">
        <v>10564</v>
      </c>
      <c r="J123" s="208">
        <f t="shared" si="3"/>
        <v>176.06666666666666</v>
      </c>
    </row>
    <row r="124" spans="2:10" ht="15.75" thickBot="1">
      <c r="B124" s="249">
        <f t="shared" si="4"/>
        <v>119</v>
      </c>
      <c r="C124" s="11">
        <v>3</v>
      </c>
      <c r="D124" s="11"/>
      <c r="E124" s="11"/>
      <c r="F124" s="11"/>
      <c r="G124" s="11" t="s">
        <v>12</v>
      </c>
      <c r="H124" s="68">
        <f aca="true" t="shared" si="6" ref="H124:I126">H125</f>
        <v>31680</v>
      </c>
      <c r="I124" s="68">
        <f>I125+I128</f>
        <v>8465</v>
      </c>
      <c r="J124" s="208">
        <f t="shared" si="3"/>
        <v>26.72032828282828</v>
      </c>
    </row>
    <row r="125" spans="2:10" ht="12.75">
      <c r="B125" s="249">
        <f t="shared" si="4"/>
        <v>120</v>
      </c>
      <c r="C125" s="6">
        <v>220</v>
      </c>
      <c r="D125" s="6"/>
      <c r="E125" s="6"/>
      <c r="F125" s="6"/>
      <c r="G125" s="6" t="s">
        <v>219</v>
      </c>
      <c r="H125" s="69">
        <f t="shared" si="6"/>
        <v>31680</v>
      </c>
      <c r="I125" s="69">
        <f t="shared" si="6"/>
        <v>7428</v>
      </c>
      <c r="J125" s="208">
        <f t="shared" si="3"/>
        <v>23.446969696969695</v>
      </c>
    </row>
    <row r="126" spans="2:10" ht="12.75">
      <c r="B126" s="249">
        <f t="shared" si="4"/>
        <v>121</v>
      </c>
      <c r="C126" s="3"/>
      <c r="D126" s="3">
        <v>223</v>
      </c>
      <c r="E126" s="3"/>
      <c r="F126" s="3"/>
      <c r="G126" s="3" t="s">
        <v>249</v>
      </c>
      <c r="H126" s="70">
        <f t="shared" si="6"/>
        <v>31680</v>
      </c>
      <c r="I126" s="70">
        <f t="shared" si="6"/>
        <v>7428</v>
      </c>
      <c r="J126" s="208">
        <f t="shared" si="3"/>
        <v>23.446969696969695</v>
      </c>
    </row>
    <row r="127" spans="2:10" ht="12.75">
      <c r="B127" s="249">
        <f t="shared" si="4"/>
        <v>122</v>
      </c>
      <c r="C127" s="4"/>
      <c r="D127" s="4"/>
      <c r="E127" s="4">
        <v>223002</v>
      </c>
      <c r="F127" s="4"/>
      <c r="G127" s="4" t="s">
        <v>66</v>
      </c>
      <c r="H127" s="71">
        <v>31680</v>
      </c>
      <c r="I127" s="71">
        <v>7428</v>
      </c>
      <c r="J127" s="208">
        <f t="shared" si="3"/>
        <v>23.446969696969695</v>
      </c>
    </row>
    <row r="128" spans="2:10" ht="12.75">
      <c r="B128" s="249">
        <f t="shared" si="4"/>
        <v>123</v>
      </c>
      <c r="C128" s="6">
        <v>290</v>
      </c>
      <c r="D128" s="6"/>
      <c r="E128" s="6"/>
      <c r="F128" s="6"/>
      <c r="G128" s="6" t="s">
        <v>173</v>
      </c>
      <c r="H128" s="69">
        <f>H129</f>
        <v>0</v>
      </c>
      <c r="I128" s="69">
        <f>I129</f>
        <v>1037</v>
      </c>
      <c r="J128" s="208">
        <v>0</v>
      </c>
    </row>
    <row r="129" spans="2:10" ht="12.75">
      <c r="B129" s="249">
        <f t="shared" si="4"/>
        <v>124</v>
      </c>
      <c r="C129" s="3"/>
      <c r="D129" s="3">
        <v>292</v>
      </c>
      <c r="E129" s="3"/>
      <c r="F129" s="3"/>
      <c r="G129" s="3" t="s">
        <v>174</v>
      </c>
      <c r="H129" s="70">
        <f>H130</f>
        <v>0</v>
      </c>
      <c r="I129" s="70">
        <f>I130</f>
        <v>1037</v>
      </c>
      <c r="J129" s="208">
        <v>0</v>
      </c>
    </row>
    <row r="130" spans="2:10" ht="13.5" thickBot="1">
      <c r="B130" s="249">
        <f t="shared" si="4"/>
        <v>125</v>
      </c>
      <c r="C130" s="4"/>
      <c r="D130" s="4"/>
      <c r="E130" s="4">
        <v>292012</v>
      </c>
      <c r="F130" s="4"/>
      <c r="G130" s="4" t="s">
        <v>230</v>
      </c>
      <c r="H130" s="71">
        <v>0</v>
      </c>
      <c r="I130" s="71">
        <v>1037</v>
      </c>
      <c r="J130" s="208">
        <v>0</v>
      </c>
    </row>
    <row r="131" spans="2:10" ht="15.75" thickBot="1">
      <c r="B131" s="249">
        <f t="shared" si="4"/>
        <v>126</v>
      </c>
      <c r="C131" s="11">
        <v>4</v>
      </c>
      <c r="D131" s="11"/>
      <c r="E131" s="11"/>
      <c r="F131" s="11"/>
      <c r="G131" s="11" t="s">
        <v>82</v>
      </c>
      <c r="H131" s="68">
        <f>H132+H138+H144+H150+H156+H162+H168+H174+H180+H186+H192+H198+H204+H210+H214+H218+H222+H227</f>
        <v>818384</v>
      </c>
      <c r="I131" s="68">
        <f>I132+I138+I144+I150+I156+I162+I168+I174+I180+I186+I192+I198+I204+I210+I214+I218+I222+I227</f>
        <v>218196</v>
      </c>
      <c r="J131" s="208">
        <f t="shared" si="3"/>
        <v>26.661811570118672</v>
      </c>
    </row>
    <row r="132" spans="2:10" ht="12.75">
      <c r="B132" s="249">
        <f t="shared" si="4"/>
        <v>127</v>
      </c>
      <c r="C132" s="6"/>
      <c r="D132" s="6"/>
      <c r="E132" s="6"/>
      <c r="F132" s="6"/>
      <c r="G132" s="6" t="s">
        <v>62</v>
      </c>
      <c r="H132" s="69">
        <f>H133</f>
        <v>41203</v>
      </c>
      <c r="I132" s="69">
        <f>I133</f>
        <v>9760</v>
      </c>
      <c r="J132" s="208">
        <f t="shared" si="3"/>
        <v>23.68759556342985</v>
      </c>
    </row>
    <row r="133" spans="2:10" ht="12.75">
      <c r="B133" s="249">
        <f t="shared" si="4"/>
        <v>128</v>
      </c>
      <c r="C133" s="3">
        <v>220</v>
      </c>
      <c r="D133" s="3"/>
      <c r="E133" s="3"/>
      <c r="F133" s="3"/>
      <c r="G133" s="3" t="s">
        <v>219</v>
      </c>
      <c r="H133" s="70">
        <f>H134</f>
        <v>41203</v>
      </c>
      <c r="I133" s="70">
        <f>I134</f>
        <v>9760</v>
      </c>
      <c r="J133" s="208">
        <f t="shared" si="3"/>
        <v>23.68759556342985</v>
      </c>
    </row>
    <row r="134" spans="2:10" ht="12.75">
      <c r="B134" s="249">
        <f t="shared" si="4"/>
        <v>129</v>
      </c>
      <c r="C134" s="4"/>
      <c r="D134" s="4">
        <v>223</v>
      </c>
      <c r="E134" s="4"/>
      <c r="F134" s="4"/>
      <c r="G134" s="4" t="s">
        <v>249</v>
      </c>
      <c r="H134" s="71">
        <f>SUM(H135:H137)</f>
        <v>41203</v>
      </c>
      <c r="I134" s="71">
        <f>SUM(I135:I137)</f>
        <v>9760</v>
      </c>
      <c r="J134" s="208">
        <f t="shared" si="3"/>
        <v>23.68759556342985</v>
      </c>
    </row>
    <row r="135" spans="2:10" ht="12.75">
      <c r="B135" s="249">
        <f t="shared" si="4"/>
        <v>130</v>
      </c>
      <c r="C135" s="5"/>
      <c r="D135" s="5"/>
      <c r="E135" s="5">
        <v>223001</v>
      </c>
      <c r="F135" s="5"/>
      <c r="G135" s="5" t="s">
        <v>250</v>
      </c>
      <c r="H135" s="75">
        <v>4820</v>
      </c>
      <c r="I135" s="75">
        <v>1092</v>
      </c>
      <c r="J135" s="208">
        <f t="shared" si="3"/>
        <v>22.65560165975104</v>
      </c>
    </row>
    <row r="136" spans="2:10" ht="12.75">
      <c r="B136" s="249">
        <f t="shared" si="4"/>
        <v>131</v>
      </c>
      <c r="C136" s="5"/>
      <c r="D136" s="5"/>
      <c r="E136" s="5">
        <v>223002</v>
      </c>
      <c r="F136" s="5"/>
      <c r="G136" s="5" t="s">
        <v>66</v>
      </c>
      <c r="H136" s="75">
        <v>11348</v>
      </c>
      <c r="I136" s="75">
        <v>3553</v>
      </c>
      <c r="J136" s="208">
        <f t="shared" si="3"/>
        <v>31.3094818470215</v>
      </c>
    </row>
    <row r="137" spans="2:10" ht="12.75">
      <c r="B137" s="249">
        <f t="shared" si="4"/>
        <v>132</v>
      </c>
      <c r="C137" s="5"/>
      <c r="D137" s="5"/>
      <c r="E137" s="5">
        <v>223003</v>
      </c>
      <c r="F137" s="5"/>
      <c r="G137" s="5" t="s">
        <v>67</v>
      </c>
      <c r="H137" s="75">
        <v>25035</v>
      </c>
      <c r="I137" s="75">
        <v>5115</v>
      </c>
      <c r="J137" s="208">
        <f t="shared" si="3"/>
        <v>20.43139604553625</v>
      </c>
    </row>
    <row r="138" spans="2:10" ht="12.75">
      <c r="B138" s="249">
        <f t="shared" si="4"/>
        <v>133</v>
      </c>
      <c r="C138" s="6"/>
      <c r="D138" s="6"/>
      <c r="E138" s="6"/>
      <c r="F138" s="6"/>
      <c r="G138" s="6" t="s">
        <v>235</v>
      </c>
      <c r="H138" s="69">
        <f>H139</f>
        <v>75815</v>
      </c>
      <c r="I138" s="69">
        <f>I139</f>
        <v>16553</v>
      </c>
      <c r="J138" s="208">
        <f t="shared" si="3"/>
        <v>21.83341027501154</v>
      </c>
    </row>
    <row r="139" spans="2:10" ht="12.75">
      <c r="B139" s="249">
        <f t="shared" si="4"/>
        <v>134</v>
      </c>
      <c r="C139" s="3">
        <v>220</v>
      </c>
      <c r="D139" s="3"/>
      <c r="E139" s="3"/>
      <c r="F139" s="3"/>
      <c r="G139" s="3" t="s">
        <v>219</v>
      </c>
      <c r="H139" s="70">
        <f>H140</f>
        <v>75815</v>
      </c>
      <c r="I139" s="70">
        <f>I140</f>
        <v>16553</v>
      </c>
      <c r="J139" s="208">
        <f t="shared" si="3"/>
        <v>21.83341027501154</v>
      </c>
    </row>
    <row r="140" spans="2:10" ht="12.75">
      <c r="B140" s="249">
        <f t="shared" si="4"/>
        <v>135</v>
      </c>
      <c r="C140" s="4"/>
      <c r="D140" s="4">
        <v>223</v>
      </c>
      <c r="E140" s="4"/>
      <c r="F140" s="4"/>
      <c r="G140" s="4" t="s">
        <v>249</v>
      </c>
      <c r="H140" s="71">
        <f>SUM(H141:H143)</f>
        <v>75815</v>
      </c>
      <c r="I140" s="71">
        <f>SUM(I141:I143)</f>
        <v>16553</v>
      </c>
      <c r="J140" s="208">
        <f aca="true" t="shared" si="7" ref="J140:J203">I140/H140*100</f>
        <v>21.83341027501154</v>
      </c>
    </row>
    <row r="141" spans="2:10" ht="12.75">
      <c r="B141" s="249">
        <f t="shared" si="4"/>
        <v>136</v>
      </c>
      <c r="C141" s="5"/>
      <c r="D141" s="5"/>
      <c r="E141" s="5">
        <v>223001</v>
      </c>
      <c r="F141" s="5"/>
      <c r="G141" s="5" t="s">
        <v>250</v>
      </c>
      <c r="H141" s="75">
        <v>8760</v>
      </c>
      <c r="I141" s="75">
        <v>1842</v>
      </c>
      <c r="J141" s="208">
        <f t="shared" si="7"/>
        <v>21.027397260273972</v>
      </c>
    </row>
    <row r="142" spans="2:10" ht="12.75">
      <c r="B142" s="249">
        <f t="shared" si="4"/>
        <v>137</v>
      </c>
      <c r="C142" s="5"/>
      <c r="D142" s="5"/>
      <c r="E142" s="5">
        <v>223002</v>
      </c>
      <c r="F142" s="5"/>
      <c r="G142" s="5" t="s">
        <v>66</v>
      </c>
      <c r="H142" s="75">
        <v>21620</v>
      </c>
      <c r="I142" s="75">
        <v>6220</v>
      </c>
      <c r="J142" s="208">
        <f t="shared" si="7"/>
        <v>28.769657724329324</v>
      </c>
    </row>
    <row r="143" spans="2:10" ht="12.75">
      <c r="B143" s="249">
        <f aca="true" t="shared" si="8" ref="B143:B206">B142+1</f>
        <v>138</v>
      </c>
      <c r="C143" s="5"/>
      <c r="D143" s="5"/>
      <c r="E143" s="5">
        <v>223003</v>
      </c>
      <c r="F143" s="5"/>
      <c r="G143" s="5" t="s">
        <v>67</v>
      </c>
      <c r="H143" s="75">
        <v>45435</v>
      </c>
      <c r="I143" s="75">
        <v>8491</v>
      </c>
      <c r="J143" s="208">
        <f t="shared" si="7"/>
        <v>18.688235941454824</v>
      </c>
    </row>
    <row r="144" spans="2:10" ht="12.75">
      <c r="B144" s="249">
        <f t="shared" si="8"/>
        <v>139</v>
      </c>
      <c r="C144" s="6"/>
      <c r="D144" s="6"/>
      <c r="E144" s="6"/>
      <c r="F144" s="6"/>
      <c r="G144" s="6" t="s">
        <v>61</v>
      </c>
      <c r="H144" s="69">
        <f>H145</f>
        <v>41435</v>
      </c>
      <c r="I144" s="69">
        <f>I145</f>
        <v>13074</v>
      </c>
      <c r="J144" s="208">
        <f t="shared" si="7"/>
        <v>31.553034873898877</v>
      </c>
    </row>
    <row r="145" spans="2:10" ht="12.75">
      <c r="B145" s="249">
        <f t="shared" si="8"/>
        <v>140</v>
      </c>
      <c r="C145" s="3">
        <v>220</v>
      </c>
      <c r="D145" s="3"/>
      <c r="E145" s="3"/>
      <c r="F145" s="3"/>
      <c r="G145" s="3" t="s">
        <v>219</v>
      </c>
      <c r="H145" s="70">
        <f>H146</f>
        <v>41435</v>
      </c>
      <c r="I145" s="70">
        <f>I146</f>
        <v>13074</v>
      </c>
      <c r="J145" s="208">
        <f t="shared" si="7"/>
        <v>31.553034873898877</v>
      </c>
    </row>
    <row r="146" spans="2:10" ht="12.75">
      <c r="B146" s="249">
        <f t="shared" si="8"/>
        <v>141</v>
      </c>
      <c r="C146" s="4"/>
      <c r="D146" s="4">
        <v>223</v>
      </c>
      <c r="E146" s="4"/>
      <c r="F146" s="4"/>
      <c r="G146" s="4" t="s">
        <v>249</v>
      </c>
      <c r="H146" s="71">
        <f>SUM(H147:H149)</f>
        <v>41435</v>
      </c>
      <c r="I146" s="71">
        <f>SUM(I147:I149)</f>
        <v>13074</v>
      </c>
      <c r="J146" s="208">
        <f t="shared" si="7"/>
        <v>31.553034873898877</v>
      </c>
    </row>
    <row r="147" spans="2:10" ht="12.75">
      <c r="B147" s="249">
        <f t="shared" si="8"/>
        <v>142</v>
      </c>
      <c r="C147" s="5"/>
      <c r="D147" s="5"/>
      <c r="E147" s="5">
        <v>223001</v>
      </c>
      <c r="F147" s="5"/>
      <c r="G147" s="5" t="s">
        <v>250</v>
      </c>
      <c r="H147" s="75">
        <v>4980</v>
      </c>
      <c r="I147" s="75">
        <v>1230</v>
      </c>
      <c r="J147" s="208">
        <f t="shared" si="7"/>
        <v>24.69879518072289</v>
      </c>
    </row>
    <row r="148" spans="2:10" ht="12.75">
      <c r="B148" s="249">
        <f t="shared" si="8"/>
        <v>143</v>
      </c>
      <c r="C148" s="5"/>
      <c r="D148" s="5"/>
      <c r="E148" s="5">
        <v>223002</v>
      </c>
      <c r="F148" s="5"/>
      <c r="G148" s="5" t="s">
        <v>66</v>
      </c>
      <c r="H148" s="75">
        <v>10580</v>
      </c>
      <c r="I148" s="75">
        <v>5234</v>
      </c>
      <c r="J148" s="208">
        <f t="shared" si="7"/>
        <v>49.47069943289225</v>
      </c>
    </row>
    <row r="149" spans="2:10" ht="12.75">
      <c r="B149" s="249">
        <f t="shared" si="8"/>
        <v>144</v>
      </c>
      <c r="C149" s="5"/>
      <c r="D149" s="5"/>
      <c r="E149" s="5">
        <v>223003</v>
      </c>
      <c r="F149" s="5"/>
      <c r="G149" s="5" t="s">
        <v>67</v>
      </c>
      <c r="H149" s="75">
        <v>25875</v>
      </c>
      <c r="I149" s="75">
        <v>6610</v>
      </c>
      <c r="J149" s="208">
        <f t="shared" si="7"/>
        <v>25.545893719806763</v>
      </c>
    </row>
    <row r="150" spans="2:10" ht="12.75">
      <c r="B150" s="249">
        <f t="shared" si="8"/>
        <v>145</v>
      </c>
      <c r="C150" s="6"/>
      <c r="D150" s="6"/>
      <c r="E150" s="6"/>
      <c r="F150" s="6"/>
      <c r="G150" s="6" t="s">
        <v>96</v>
      </c>
      <c r="H150" s="69">
        <f>H151</f>
        <v>54740</v>
      </c>
      <c r="I150" s="69">
        <f>I151</f>
        <v>11928</v>
      </c>
      <c r="J150" s="208">
        <f t="shared" si="7"/>
        <v>21.790281329923275</v>
      </c>
    </row>
    <row r="151" spans="2:10" ht="12.75">
      <c r="B151" s="249">
        <f t="shared" si="8"/>
        <v>146</v>
      </c>
      <c r="C151" s="3">
        <v>220</v>
      </c>
      <c r="D151" s="3"/>
      <c r="E151" s="3"/>
      <c r="F151" s="3"/>
      <c r="G151" s="3" t="s">
        <v>219</v>
      </c>
      <c r="H151" s="70">
        <f>H152</f>
        <v>54740</v>
      </c>
      <c r="I151" s="70">
        <f>I152</f>
        <v>11928</v>
      </c>
      <c r="J151" s="208">
        <f t="shared" si="7"/>
        <v>21.790281329923275</v>
      </c>
    </row>
    <row r="152" spans="2:10" ht="12.75">
      <c r="B152" s="249">
        <f t="shared" si="8"/>
        <v>147</v>
      </c>
      <c r="C152" s="4"/>
      <c r="D152" s="4">
        <v>223</v>
      </c>
      <c r="E152" s="4"/>
      <c r="F152" s="4"/>
      <c r="G152" s="4" t="s">
        <v>249</v>
      </c>
      <c r="H152" s="71">
        <f>SUM(H153:H155)</f>
        <v>54740</v>
      </c>
      <c r="I152" s="71">
        <f>SUM(I153:I155)</f>
        <v>11928</v>
      </c>
      <c r="J152" s="208">
        <f t="shared" si="7"/>
        <v>21.790281329923275</v>
      </c>
    </row>
    <row r="153" spans="2:10" ht="12.75">
      <c r="B153" s="249">
        <f t="shared" si="8"/>
        <v>148</v>
      </c>
      <c r="C153" s="5"/>
      <c r="D153" s="5"/>
      <c r="E153" s="5">
        <v>223001</v>
      </c>
      <c r="F153" s="5"/>
      <c r="G153" s="5" t="s">
        <v>250</v>
      </c>
      <c r="H153" s="75">
        <v>6365</v>
      </c>
      <c r="I153" s="75">
        <v>1392</v>
      </c>
      <c r="J153" s="208">
        <f t="shared" si="7"/>
        <v>21.869599371563236</v>
      </c>
    </row>
    <row r="154" spans="2:10" ht="12.75">
      <c r="B154" s="249">
        <f t="shared" si="8"/>
        <v>149</v>
      </c>
      <c r="C154" s="5"/>
      <c r="D154" s="5"/>
      <c r="E154" s="5">
        <v>223002</v>
      </c>
      <c r="F154" s="5"/>
      <c r="G154" s="5" t="s">
        <v>66</v>
      </c>
      <c r="H154" s="75">
        <v>15300</v>
      </c>
      <c r="I154" s="75">
        <v>4078</v>
      </c>
      <c r="J154" s="208">
        <f t="shared" si="7"/>
        <v>26.653594771241828</v>
      </c>
    </row>
    <row r="155" spans="2:10" ht="12.75">
      <c r="B155" s="249">
        <f t="shared" si="8"/>
        <v>150</v>
      </c>
      <c r="C155" s="5"/>
      <c r="D155" s="5"/>
      <c r="E155" s="5">
        <v>223003</v>
      </c>
      <c r="F155" s="5"/>
      <c r="G155" s="5" t="s">
        <v>67</v>
      </c>
      <c r="H155" s="75">
        <v>33075</v>
      </c>
      <c r="I155" s="75">
        <v>6458</v>
      </c>
      <c r="J155" s="208">
        <f t="shared" si="7"/>
        <v>19.525321239606956</v>
      </c>
    </row>
    <row r="156" spans="2:10" ht="12.75">
      <c r="B156" s="249">
        <f t="shared" si="8"/>
        <v>151</v>
      </c>
      <c r="C156" s="6"/>
      <c r="D156" s="6"/>
      <c r="E156" s="6"/>
      <c r="F156" s="6"/>
      <c r="G156" s="6" t="s">
        <v>99</v>
      </c>
      <c r="H156" s="69">
        <f>H157</f>
        <v>49570</v>
      </c>
      <c r="I156" s="69">
        <f>I157</f>
        <v>10030</v>
      </c>
      <c r="J156" s="208">
        <f t="shared" si="7"/>
        <v>20.234012507565062</v>
      </c>
    </row>
    <row r="157" spans="2:10" ht="12.75">
      <c r="B157" s="249">
        <f t="shared" si="8"/>
        <v>152</v>
      </c>
      <c r="C157" s="3">
        <v>220</v>
      </c>
      <c r="D157" s="3"/>
      <c r="E157" s="3"/>
      <c r="F157" s="3"/>
      <c r="G157" s="3" t="s">
        <v>219</v>
      </c>
      <c r="H157" s="70">
        <f>H158</f>
        <v>49570</v>
      </c>
      <c r="I157" s="70">
        <f>I158</f>
        <v>10030</v>
      </c>
      <c r="J157" s="208">
        <f t="shared" si="7"/>
        <v>20.234012507565062</v>
      </c>
    </row>
    <row r="158" spans="2:10" ht="12.75">
      <c r="B158" s="249">
        <f t="shared" si="8"/>
        <v>153</v>
      </c>
      <c r="C158" s="4"/>
      <c r="D158" s="4">
        <v>223</v>
      </c>
      <c r="E158" s="4"/>
      <c r="F158" s="4"/>
      <c r="G158" s="4" t="s">
        <v>249</v>
      </c>
      <c r="H158" s="71">
        <f>SUM(H159:H161)</f>
        <v>49570</v>
      </c>
      <c r="I158" s="71">
        <f>SUM(I159:I161)</f>
        <v>10030</v>
      </c>
      <c r="J158" s="208">
        <f t="shared" si="7"/>
        <v>20.234012507565062</v>
      </c>
    </row>
    <row r="159" spans="2:10" ht="12.75">
      <c r="B159" s="249">
        <f t="shared" si="8"/>
        <v>154</v>
      </c>
      <c r="C159" s="5"/>
      <c r="D159" s="5"/>
      <c r="E159" s="5">
        <v>223001</v>
      </c>
      <c r="F159" s="5"/>
      <c r="G159" s="5" t="s">
        <v>250</v>
      </c>
      <c r="H159" s="75">
        <v>5830</v>
      </c>
      <c r="I159" s="75">
        <v>816</v>
      </c>
      <c r="J159" s="208">
        <f t="shared" si="7"/>
        <v>13.99656946826758</v>
      </c>
    </row>
    <row r="160" spans="2:10" ht="12.75">
      <c r="B160" s="249">
        <f t="shared" si="8"/>
        <v>155</v>
      </c>
      <c r="C160" s="5"/>
      <c r="D160" s="5"/>
      <c r="E160" s="5">
        <v>223002</v>
      </c>
      <c r="F160" s="5"/>
      <c r="G160" s="5" t="s">
        <v>66</v>
      </c>
      <c r="H160" s="75">
        <v>13465</v>
      </c>
      <c r="I160" s="75">
        <v>3524</v>
      </c>
      <c r="J160" s="208">
        <f t="shared" si="7"/>
        <v>26.17155588562941</v>
      </c>
    </row>
    <row r="161" spans="2:10" ht="12.75">
      <c r="B161" s="249">
        <f t="shared" si="8"/>
        <v>156</v>
      </c>
      <c r="C161" s="5"/>
      <c r="D161" s="5"/>
      <c r="E161" s="5">
        <v>223003</v>
      </c>
      <c r="F161" s="5"/>
      <c r="G161" s="5" t="s">
        <v>67</v>
      </c>
      <c r="H161" s="75">
        <v>30275</v>
      </c>
      <c r="I161" s="75">
        <v>5690</v>
      </c>
      <c r="J161" s="208">
        <f t="shared" si="7"/>
        <v>18.794384805945498</v>
      </c>
    </row>
    <row r="162" spans="2:10" ht="12.75">
      <c r="B162" s="249">
        <f t="shared" si="8"/>
        <v>157</v>
      </c>
      <c r="C162" s="6"/>
      <c r="D162" s="6"/>
      <c r="E162" s="6"/>
      <c r="F162" s="6"/>
      <c r="G162" s="6" t="s">
        <v>84</v>
      </c>
      <c r="H162" s="69">
        <f>H163</f>
        <v>77945</v>
      </c>
      <c r="I162" s="69">
        <f>I163</f>
        <v>20306</v>
      </c>
      <c r="J162" s="208">
        <f t="shared" si="7"/>
        <v>26.051703123997687</v>
      </c>
    </row>
    <row r="163" spans="2:10" ht="12.75">
      <c r="B163" s="249">
        <f t="shared" si="8"/>
        <v>158</v>
      </c>
      <c r="C163" s="3">
        <v>220</v>
      </c>
      <c r="D163" s="3"/>
      <c r="E163" s="3"/>
      <c r="F163" s="3"/>
      <c r="G163" s="3" t="s">
        <v>219</v>
      </c>
      <c r="H163" s="70">
        <f>H164</f>
        <v>77945</v>
      </c>
      <c r="I163" s="70">
        <f>I164</f>
        <v>20306</v>
      </c>
      <c r="J163" s="208">
        <f t="shared" si="7"/>
        <v>26.051703123997687</v>
      </c>
    </row>
    <row r="164" spans="2:10" ht="12.75">
      <c r="B164" s="249">
        <f t="shared" si="8"/>
        <v>159</v>
      </c>
      <c r="C164" s="4"/>
      <c r="D164" s="4">
        <v>223</v>
      </c>
      <c r="E164" s="4"/>
      <c r="F164" s="4"/>
      <c r="G164" s="4" t="s">
        <v>249</v>
      </c>
      <c r="H164" s="71">
        <f>SUM(H165:H167)</f>
        <v>77945</v>
      </c>
      <c r="I164" s="71">
        <f>SUM(I165:I167)</f>
        <v>20306</v>
      </c>
      <c r="J164" s="208">
        <f t="shared" si="7"/>
        <v>26.051703123997687</v>
      </c>
    </row>
    <row r="165" spans="2:10" ht="12.75">
      <c r="B165" s="249">
        <f t="shared" si="8"/>
        <v>160</v>
      </c>
      <c r="C165" s="5"/>
      <c r="D165" s="5"/>
      <c r="E165" s="5">
        <v>223001</v>
      </c>
      <c r="F165" s="5"/>
      <c r="G165" s="5" t="s">
        <v>250</v>
      </c>
      <c r="H165" s="75">
        <v>9010</v>
      </c>
      <c r="I165" s="75">
        <v>1932</v>
      </c>
      <c r="J165" s="208">
        <f t="shared" si="7"/>
        <v>21.442841287458382</v>
      </c>
    </row>
    <row r="166" spans="2:10" ht="12.75">
      <c r="B166" s="249">
        <f t="shared" si="8"/>
        <v>161</v>
      </c>
      <c r="C166" s="5"/>
      <c r="D166" s="5"/>
      <c r="E166" s="5">
        <v>223002</v>
      </c>
      <c r="F166" s="5"/>
      <c r="G166" s="5" t="s">
        <v>66</v>
      </c>
      <c r="H166" s="75">
        <v>22150</v>
      </c>
      <c r="I166" s="75">
        <v>8042</v>
      </c>
      <c r="J166" s="208">
        <f t="shared" si="7"/>
        <v>36.306997742663654</v>
      </c>
    </row>
    <row r="167" spans="2:10" ht="12.75">
      <c r="B167" s="249">
        <f t="shared" si="8"/>
        <v>162</v>
      </c>
      <c r="C167" s="5"/>
      <c r="D167" s="5"/>
      <c r="E167" s="5">
        <v>223003</v>
      </c>
      <c r="F167" s="5"/>
      <c r="G167" s="5" t="s">
        <v>67</v>
      </c>
      <c r="H167" s="75">
        <v>46785</v>
      </c>
      <c r="I167" s="75">
        <v>10332</v>
      </c>
      <c r="J167" s="208">
        <f t="shared" si="7"/>
        <v>22.084001282462328</v>
      </c>
    </row>
    <row r="168" spans="2:10" ht="12.75">
      <c r="B168" s="249">
        <f t="shared" si="8"/>
        <v>163</v>
      </c>
      <c r="C168" s="6"/>
      <c r="D168" s="6"/>
      <c r="E168" s="6"/>
      <c r="F168" s="6"/>
      <c r="G168" s="6" t="s">
        <v>81</v>
      </c>
      <c r="H168" s="69">
        <f>H169</f>
        <v>87320</v>
      </c>
      <c r="I168" s="69">
        <f>I169</f>
        <v>21353</v>
      </c>
      <c r="J168" s="208">
        <f t="shared" si="7"/>
        <v>24.453733394411362</v>
      </c>
    </row>
    <row r="169" spans="2:10" ht="12.75">
      <c r="B169" s="249">
        <f t="shared" si="8"/>
        <v>164</v>
      </c>
      <c r="C169" s="3">
        <v>220</v>
      </c>
      <c r="D169" s="3"/>
      <c r="E169" s="3"/>
      <c r="F169" s="3"/>
      <c r="G169" s="3" t="s">
        <v>219</v>
      </c>
      <c r="H169" s="70">
        <f>H170</f>
        <v>87320</v>
      </c>
      <c r="I169" s="70">
        <f>I170</f>
        <v>21353</v>
      </c>
      <c r="J169" s="208">
        <f t="shared" si="7"/>
        <v>24.453733394411362</v>
      </c>
    </row>
    <row r="170" spans="2:10" ht="12.75">
      <c r="B170" s="249">
        <f t="shared" si="8"/>
        <v>165</v>
      </c>
      <c r="C170" s="4"/>
      <c r="D170" s="4">
        <v>223</v>
      </c>
      <c r="E170" s="4"/>
      <c r="F170" s="4"/>
      <c r="G170" s="4" t="s">
        <v>249</v>
      </c>
      <c r="H170" s="71">
        <f>SUM(H171:H173)</f>
        <v>87320</v>
      </c>
      <c r="I170" s="71">
        <f>SUM(I171:I173)</f>
        <v>21353</v>
      </c>
      <c r="J170" s="208">
        <f t="shared" si="7"/>
        <v>24.453733394411362</v>
      </c>
    </row>
    <row r="171" spans="2:10" ht="12.75">
      <c r="B171" s="249">
        <f t="shared" si="8"/>
        <v>166</v>
      </c>
      <c r="C171" s="5"/>
      <c r="D171" s="5"/>
      <c r="E171" s="5">
        <v>223001</v>
      </c>
      <c r="F171" s="5"/>
      <c r="G171" s="5" t="s">
        <v>250</v>
      </c>
      <c r="H171" s="75">
        <v>10080</v>
      </c>
      <c r="I171" s="75">
        <v>2328</v>
      </c>
      <c r="J171" s="208">
        <f t="shared" si="7"/>
        <v>23.095238095238095</v>
      </c>
    </row>
    <row r="172" spans="2:10" ht="12.75">
      <c r="B172" s="249">
        <f t="shared" si="8"/>
        <v>167</v>
      </c>
      <c r="C172" s="5"/>
      <c r="D172" s="5"/>
      <c r="E172" s="5">
        <v>223002</v>
      </c>
      <c r="F172" s="5"/>
      <c r="G172" s="5" t="s">
        <v>66</v>
      </c>
      <c r="H172" s="75">
        <v>24800</v>
      </c>
      <c r="I172" s="75">
        <v>5967</v>
      </c>
      <c r="J172" s="208">
        <f t="shared" si="7"/>
        <v>24.06048387096774</v>
      </c>
    </row>
    <row r="173" spans="2:10" ht="12.75">
      <c r="B173" s="249">
        <f t="shared" si="8"/>
        <v>168</v>
      </c>
      <c r="C173" s="5"/>
      <c r="D173" s="5"/>
      <c r="E173" s="5">
        <v>223003</v>
      </c>
      <c r="F173" s="5"/>
      <c r="G173" s="5" t="s">
        <v>67</v>
      </c>
      <c r="H173" s="75">
        <v>52440</v>
      </c>
      <c r="I173" s="75">
        <v>13058</v>
      </c>
      <c r="J173" s="208">
        <f t="shared" si="7"/>
        <v>24.90083905415713</v>
      </c>
    </row>
    <row r="174" spans="2:10" ht="12.75">
      <c r="B174" s="249">
        <f t="shared" si="8"/>
        <v>169</v>
      </c>
      <c r="C174" s="6"/>
      <c r="D174" s="6"/>
      <c r="E174" s="6"/>
      <c r="F174" s="6"/>
      <c r="G174" s="6" t="s">
        <v>103</v>
      </c>
      <c r="H174" s="69">
        <f>H175</f>
        <v>45340</v>
      </c>
      <c r="I174" s="69">
        <f>I175</f>
        <v>9656</v>
      </c>
      <c r="J174" s="208">
        <f t="shared" si="7"/>
        <v>21.29686810763123</v>
      </c>
    </row>
    <row r="175" spans="2:10" ht="12.75">
      <c r="B175" s="249">
        <f t="shared" si="8"/>
        <v>170</v>
      </c>
      <c r="C175" s="3">
        <v>220</v>
      </c>
      <c r="D175" s="3"/>
      <c r="E175" s="3"/>
      <c r="F175" s="3"/>
      <c r="G175" s="3" t="s">
        <v>219</v>
      </c>
      <c r="H175" s="70">
        <f>H176</f>
        <v>45340</v>
      </c>
      <c r="I175" s="70">
        <f>I176</f>
        <v>9656</v>
      </c>
      <c r="J175" s="208">
        <f t="shared" si="7"/>
        <v>21.29686810763123</v>
      </c>
    </row>
    <row r="176" spans="2:10" ht="12.75">
      <c r="B176" s="249">
        <f t="shared" si="8"/>
        <v>171</v>
      </c>
      <c r="C176" s="4"/>
      <c r="D176" s="4">
        <v>223</v>
      </c>
      <c r="E176" s="4"/>
      <c r="F176" s="4"/>
      <c r="G176" s="4" t="s">
        <v>249</v>
      </c>
      <c r="H176" s="71">
        <f>SUM(H177:H179)</f>
        <v>45340</v>
      </c>
      <c r="I176" s="71">
        <f>SUM(I177:I179)</f>
        <v>9656</v>
      </c>
      <c r="J176" s="208">
        <f t="shared" si="7"/>
        <v>21.29686810763123</v>
      </c>
    </row>
    <row r="177" spans="2:10" ht="12.75">
      <c r="B177" s="249">
        <f t="shared" si="8"/>
        <v>172</v>
      </c>
      <c r="C177" s="5"/>
      <c r="D177" s="5"/>
      <c r="E177" s="5">
        <v>223001</v>
      </c>
      <c r="F177" s="5"/>
      <c r="G177" s="5" t="s">
        <v>250</v>
      </c>
      <c r="H177" s="75">
        <v>5200</v>
      </c>
      <c r="I177" s="75">
        <v>1017</v>
      </c>
      <c r="J177" s="208">
        <f t="shared" si="7"/>
        <v>19.557692307692307</v>
      </c>
    </row>
    <row r="178" spans="2:10" ht="12.75">
      <c r="B178" s="249">
        <f t="shared" si="8"/>
        <v>173</v>
      </c>
      <c r="C178" s="5"/>
      <c r="D178" s="5"/>
      <c r="E178" s="5">
        <v>223002</v>
      </c>
      <c r="F178" s="5"/>
      <c r="G178" s="5" t="s">
        <v>66</v>
      </c>
      <c r="H178" s="75">
        <v>13180</v>
      </c>
      <c r="I178" s="75">
        <v>3910</v>
      </c>
      <c r="J178" s="208">
        <f t="shared" si="7"/>
        <v>29.666160849772382</v>
      </c>
    </row>
    <row r="179" spans="2:10" ht="12.75">
      <c r="B179" s="249">
        <f t="shared" si="8"/>
        <v>174</v>
      </c>
      <c r="C179" s="5"/>
      <c r="D179" s="5"/>
      <c r="E179" s="5">
        <v>223003</v>
      </c>
      <c r="F179" s="5"/>
      <c r="G179" s="5" t="s">
        <v>67</v>
      </c>
      <c r="H179" s="75">
        <v>26960</v>
      </c>
      <c r="I179" s="75">
        <v>4729</v>
      </c>
      <c r="J179" s="208">
        <f t="shared" si="7"/>
        <v>17.540801186943618</v>
      </c>
    </row>
    <row r="180" spans="2:10" ht="12.75">
      <c r="B180" s="249">
        <f t="shared" si="8"/>
        <v>175</v>
      </c>
      <c r="C180" s="6"/>
      <c r="D180" s="6"/>
      <c r="E180" s="6"/>
      <c r="F180" s="6"/>
      <c r="G180" s="6" t="s">
        <v>57</v>
      </c>
      <c r="H180" s="69">
        <f>H181</f>
        <v>74630</v>
      </c>
      <c r="I180" s="69">
        <f>I181</f>
        <v>18865</v>
      </c>
      <c r="J180" s="208">
        <f t="shared" si="7"/>
        <v>25.27803832239046</v>
      </c>
    </row>
    <row r="181" spans="2:10" ht="12.75">
      <c r="B181" s="249">
        <f t="shared" si="8"/>
        <v>176</v>
      </c>
      <c r="C181" s="3">
        <v>220</v>
      </c>
      <c r="D181" s="3"/>
      <c r="E181" s="3"/>
      <c r="F181" s="3"/>
      <c r="G181" s="3" t="s">
        <v>219</v>
      </c>
      <c r="H181" s="70">
        <f>H182</f>
        <v>74630</v>
      </c>
      <c r="I181" s="70">
        <f>I182</f>
        <v>18865</v>
      </c>
      <c r="J181" s="208">
        <f t="shared" si="7"/>
        <v>25.27803832239046</v>
      </c>
    </row>
    <row r="182" spans="2:10" ht="12.75">
      <c r="B182" s="249">
        <f t="shared" si="8"/>
        <v>177</v>
      </c>
      <c r="C182" s="4"/>
      <c r="D182" s="4">
        <v>223</v>
      </c>
      <c r="E182" s="4"/>
      <c r="F182" s="4"/>
      <c r="G182" s="4" t="s">
        <v>249</v>
      </c>
      <c r="H182" s="71">
        <f>SUM(H183:H185)</f>
        <v>74630</v>
      </c>
      <c r="I182" s="71">
        <f>SUM(I183:I185)</f>
        <v>18865</v>
      </c>
      <c r="J182" s="208">
        <f t="shared" si="7"/>
        <v>25.27803832239046</v>
      </c>
    </row>
    <row r="183" spans="2:10" ht="12.75">
      <c r="B183" s="249">
        <f t="shared" si="8"/>
        <v>178</v>
      </c>
      <c r="C183" s="5"/>
      <c r="D183" s="5"/>
      <c r="E183" s="5">
        <v>223001</v>
      </c>
      <c r="F183" s="5"/>
      <c r="G183" s="5" t="s">
        <v>250</v>
      </c>
      <c r="H183" s="75">
        <v>8505</v>
      </c>
      <c r="I183" s="75">
        <v>2011</v>
      </c>
      <c r="J183" s="208">
        <f t="shared" si="7"/>
        <v>23.644914756025866</v>
      </c>
    </row>
    <row r="184" spans="2:10" ht="12.75">
      <c r="B184" s="249">
        <f t="shared" si="8"/>
        <v>179</v>
      </c>
      <c r="C184" s="5"/>
      <c r="D184" s="5"/>
      <c r="E184" s="5">
        <v>223002</v>
      </c>
      <c r="F184" s="5"/>
      <c r="G184" s="5" t="s">
        <v>66</v>
      </c>
      <c r="H184" s="75">
        <v>21880</v>
      </c>
      <c r="I184" s="75">
        <v>8802</v>
      </c>
      <c r="J184" s="208">
        <f t="shared" si="7"/>
        <v>40.228519195612435</v>
      </c>
    </row>
    <row r="185" spans="2:10" ht="12.75">
      <c r="B185" s="249">
        <f t="shared" si="8"/>
        <v>180</v>
      </c>
      <c r="C185" s="5"/>
      <c r="D185" s="5"/>
      <c r="E185" s="5">
        <v>223003</v>
      </c>
      <c r="F185" s="5"/>
      <c r="G185" s="5" t="s">
        <v>67</v>
      </c>
      <c r="H185" s="75">
        <v>44245</v>
      </c>
      <c r="I185" s="75">
        <v>8052</v>
      </c>
      <c r="J185" s="208">
        <f t="shared" si="7"/>
        <v>18.198666515990507</v>
      </c>
    </row>
    <row r="186" spans="2:10" ht="12.75">
      <c r="B186" s="249">
        <f t="shared" si="8"/>
        <v>181</v>
      </c>
      <c r="C186" s="6"/>
      <c r="D186" s="6"/>
      <c r="E186" s="6"/>
      <c r="F186" s="6"/>
      <c r="G186" s="6" t="s">
        <v>63</v>
      </c>
      <c r="H186" s="69">
        <f>H187</f>
        <v>82045</v>
      </c>
      <c r="I186" s="69">
        <f>I187</f>
        <v>18652</v>
      </c>
      <c r="J186" s="208">
        <f t="shared" si="7"/>
        <v>22.73386556158206</v>
      </c>
    </row>
    <row r="187" spans="2:10" ht="12.75">
      <c r="B187" s="249">
        <f t="shared" si="8"/>
        <v>182</v>
      </c>
      <c r="C187" s="3">
        <v>220</v>
      </c>
      <c r="D187" s="3"/>
      <c r="E187" s="3"/>
      <c r="F187" s="3"/>
      <c r="G187" s="3" t="s">
        <v>219</v>
      </c>
      <c r="H187" s="70">
        <f>H188</f>
        <v>82045</v>
      </c>
      <c r="I187" s="70">
        <f>I188</f>
        <v>18652</v>
      </c>
      <c r="J187" s="208">
        <f t="shared" si="7"/>
        <v>22.73386556158206</v>
      </c>
    </row>
    <row r="188" spans="2:10" ht="12.75">
      <c r="B188" s="249">
        <f t="shared" si="8"/>
        <v>183</v>
      </c>
      <c r="C188" s="4"/>
      <c r="D188" s="4">
        <v>223</v>
      </c>
      <c r="E188" s="4"/>
      <c r="F188" s="4"/>
      <c r="G188" s="4" t="s">
        <v>249</v>
      </c>
      <c r="H188" s="71">
        <f>SUM(H189:H191)</f>
        <v>82045</v>
      </c>
      <c r="I188" s="71">
        <f>SUM(I189:I191)</f>
        <v>18652</v>
      </c>
      <c r="J188" s="208">
        <f t="shared" si="7"/>
        <v>22.73386556158206</v>
      </c>
    </row>
    <row r="189" spans="2:10" ht="12.75">
      <c r="B189" s="249">
        <f t="shared" si="8"/>
        <v>184</v>
      </c>
      <c r="C189" s="5"/>
      <c r="D189" s="5"/>
      <c r="E189" s="5">
        <v>223001</v>
      </c>
      <c r="F189" s="5"/>
      <c r="G189" s="5" t="s">
        <v>250</v>
      </c>
      <c r="H189" s="75">
        <v>9580</v>
      </c>
      <c r="I189" s="75">
        <v>2052</v>
      </c>
      <c r="J189" s="208">
        <f t="shared" si="7"/>
        <v>21.419624217118997</v>
      </c>
    </row>
    <row r="190" spans="2:10" ht="12.75">
      <c r="B190" s="249">
        <f t="shared" si="8"/>
        <v>185</v>
      </c>
      <c r="C190" s="5"/>
      <c r="D190" s="5"/>
      <c r="E190" s="5">
        <v>223002</v>
      </c>
      <c r="F190" s="5"/>
      <c r="G190" s="5" t="s">
        <v>66</v>
      </c>
      <c r="H190" s="75">
        <v>22700</v>
      </c>
      <c r="I190" s="75">
        <v>6795</v>
      </c>
      <c r="J190" s="208">
        <f t="shared" si="7"/>
        <v>29.93392070484581</v>
      </c>
    </row>
    <row r="191" spans="2:10" ht="12.75">
      <c r="B191" s="249">
        <f t="shared" si="8"/>
        <v>186</v>
      </c>
      <c r="C191" s="5"/>
      <c r="D191" s="5"/>
      <c r="E191" s="5">
        <v>223003</v>
      </c>
      <c r="F191" s="5"/>
      <c r="G191" s="5" t="s">
        <v>67</v>
      </c>
      <c r="H191" s="75">
        <v>49765</v>
      </c>
      <c r="I191" s="75">
        <v>9805</v>
      </c>
      <c r="J191" s="208">
        <f t="shared" si="7"/>
        <v>19.702602230483272</v>
      </c>
    </row>
    <row r="192" spans="2:10" ht="12.75">
      <c r="B192" s="249">
        <f t="shared" si="8"/>
        <v>187</v>
      </c>
      <c r="C192" s="6"/>
      <c r="D192" s="6"/>
      <c r="E192" s="6"/>
      <c r="F192" s="6"/>
      <c r="G192" s="6" t="s">
        <v>64</v>
      </c>
      <c r="H192" s="69">
        <f>H193</f>
        <v>46345</v>
      </c>
      <c r="I192" s="69">
        <f>I193</f>
        <v>13281</v>
      </c>
      <c r="J192" s="208">
        <f t="shared" si="7"/>
        <v>28.65681303268961</v>
      </c>
    </row>
    <row r="193" spans="2:10" ht="12.75">
      <c r="B193" s="249">
        <f t="shared" si="8"/>
        <v>188</v>
      </c>
      <c r="C193" s="3">
        <v>220</v>
      </c>
      <c r="D193" s="3"/>
      <c r="E193" s="3"/>
      <c r="F193" s="3"/>
      <c r="G193" s="3" t="s">
        <v>219</v>
      </c>
      <c r="H193" s="70">
        <f>H194</f>
        <v>46345</v>
      </c>
      <c r="I193" s="70">
        <f>I194</f>
        <v>13281</v>
      </c>
      <c r="J193" s="208">
        <f t="shared" si="7"/>
        <v>28.65681303268961</v>
      </c>
    </row>
    <row r="194" spans="2:10" ht="12.75">
      <c r="B194" s="249">
        <f t="shared" si="8"/>
        <v>189</v>
      </c>
      <c r="C194" s="4"/>
      <c r="D194" s="4">
        <v>223</v>
      </c>
      <c r="E194" s="4"/>
      <c r="F194" s="4"/>
      <c r="G194" s="4" t="s">
        <v>249</v>
      </c>
      <c r="H194" s="71">
        <f>SUM(H195:H197)</f>
        <v>46345</v>
      </c>
      <c r="I194" s="71">
        <f>SUM(I195:I197)</f>
        <v>13281</v>
      </c>
      <c r="J194" s="208">
        <f t="shared" si="7"/>
        <v>28.65681303268961</v>
      </c>
    </row>
    <row r="195" spans="2:10" ht="12.75">
      <c r="B195" s="249">
        <f t="shared" si="8"/>
        <v>190</v>
      </c>
      <c r="C195" s="5"/>
      <c r="D195" s="5"/>
      <c r="E195" s="5">
        <v>223001</v>
      </c>
      <c r="F195" s="5"/>
      <c r="G195" s="5" t="s">
        <v>250</v>
      </c>
      <c r="H195" s="75">
        <v>5355</v>
      </c>
      <c r="I195" s="75">
        <v>1278</v>
      </c>
      <c r="J195" s="208">
        <f t="shared" si="7"/>
        <v>23.865546218487395</v>
      </c>
    </row>
    <row r="196" spans="2:10" ht="12.75">
      <c r="B196" s="249">
        <f t="shared" si="8"/>
        <v>191</v>
      </c>
      <c r="C196" s="5"/>
      <c r="D196" s="5"/>
      <c r="E196" s="5">
        <v>223002</v>
      </c>
      <c r="F196" s="5"/>
      <c r="G196" s="5" t="s">
        <v>66</v>
      </c>
      <c r="H196" s="75">
        <v>13185</v>
      </c>
      <c r="I196" s="75">
        <v>5712</v>
      </c>
      <c r="J196" s="208">
        <f t="shared" si="7"/>
        <v>43.321956769055745</v>
      </c>
    </row>
    <row r="197" spans="2:10" ht="12.75">
      <c r="B197" s="249">
        <f t="shared" si="8"/>
        <v>192</v>
      </c>
      <c r="C197" s="5"/>
      <c r="D197" s="5"/>
      <c r="E197" s="5">
        <v>223003</v>
      </c>
      <c r="F197" s="5"/>
      <c r="G197" s="5" t="s">
        <v>67</v>
      </c>
      <c r="H197" s="75">
        <v>27805</v>
      </c>
      <c r="I197" s="75">
        <v>6291</v>
      </c>
      <c r="J197" s="208">
        <f t="shared" si="7"/>
        <v>22.62542708146017</v>
      </c>
    </row>
    <row r="198" spans="2:10" ht="12.75">
      <c r="B198" s="249">
        <f t="shared" si="8"/>
        <v>193</v>
      </c>
      <c r="C198" s="6"/>
      <c r="D198" s="6"/>
      <c r="E198" s="6"/>
      <c r="F198" s="6"/>
      <c r="G198" s="6" t="s">
        <v>94</v>
      </c>
      <c r="H198" s="69">
        <f>H199</f>
        <v>21775</v>
      </c>
      <c r="I198" s="69">
        <f>I199</f>
        <v>6099</v>
      </c>
      <c r="J198" s="208">
        <f t="shared" si="7"/>
        <v>28.00918484500574</v>
      </c>
    </row>
    <row r="199" spans="2:10" ht="12.75">
      <c r="B199" s="249">
        <f t="shared" si="8"/>
        <v>194</v>
      </c>
      <c r="C199" s="3">
        <v>220</v>
      </c>
      <c r="D199" s="3"/>
      <c r="E199" s="3"/>
      <c r="F199" s="3"/>
      <c r="G199" s="3" t="s">
        <v>219</v>
      </c>
      <c r="H199" s="70">
        <f>H200</f>
        <v>21775</v>
      </c>
      <c r="I199" s="70">
        <f>I200</f>
        <v>6099</v>
      </c>
      <c r="J199" s="208">
        <f t="shared" si="7"/>
        <v>28.00918484500574</v>
      </c>
    </row>
    <row r="200" spans="2:10" ht="12.75">
      <c r="B200" s="249">
        <f t="shared" si="8"/>
        <v>195</v>
      </c>
      <c r="C200" s="4"/>
      <c r="D200" s="4">
        <v>223</v>
      </c>
      <c r="E200" s="4"/>
      <c r="F200" s="4"/>
      <c r="G200" s="4" t="s">
        <v>249</v>
      </c>
      <c r="H200" s="71">
        <f>SUM(H201:H203)</f>
        <v>21775</v>
      </c>
      <c r="I200" s="71">
        <f>SUM(I201:I203)</f>
        <v>6099</v>
      </c>
      <c r="J200" s="208">
        <f t="shared" si="7"/>
        <v>28.00918484500574</v>
      </c>
    </row>
    <row r="201" spans="2:10" ht="12.75">
      <c r="B201" s="249">
        <f t="shared" si="8"/>
        <v>196</v>
      </c>
      <c r="C201" s="5"/>
      <c r="D201" s="5"/>
      <c r="E201" s="5">
        <v>223001</v>
      </c>
      <c r="F201" s="5"/>
      <c r="G201" s="5" t="s">
        <v>250</v>
      </c>
      <c r="H201" s="75">
        <v>2585</v>
      </c>
      <c r="I201" s="75">
        <v>660</v>
      </c>
      <c r="J201" s="208">
        <f t="shared" si="7"/>
        <v>25.53191489361702</v>
      </c>
    </row>
    <row r="202" spans="2:10" ht="12.75">
      <c r="B202" s="249">
        <f t="shared" si="8"/>
        <v>197</v>
      </c>
      <c r="C202" s="5"/>
      <c r="D202" s="5"/>
      <c r="E202" s="5">
        <v>223002</v>
      </c>
      <c r="F202" s="5"/>
      <c r="G202" s="5" t="s">
        <v>66</v>
      </c>
      <c r="H202" s="75">
        <v>5810</v>
      </c>
      <c r="I202" s="75">
        <v>1436</v>
      </c>
      <c r="J202" s="208">
        <f t="shared" si="7"/>
        <v>24.716006884681583</v>
      </c>
    </row>
    <row r="203" spans="2:10" ht="12.75">
      <c r="B203" s="249">
        <f t="shared" si="8"/>
        <v>198</v>
      </c>
      <c r="C203" s="5"/>
      <c r="D203" s="5"/>
      <c r="E203" s="5">
        <v>223003</v>
      </c>
      <c r="F203" s="5"/>
      <c r="G203" s="5" t="s">
        <v>67</v>
      </c>
      <c r="H203" s="75">
        <v>13380</v>
      </c>
      <c r="I203" s="75">
        <v>4003</v>
      </c>
      <c r="J203" s="208">
        <f t="shared" si="7"/>
        <v>29.917787742899847</v>
      </c>
    </row>
    <row r="204" spans="2:10" ht="12.75">
      <c r="B204" s="249">
        <f t="shared" si="8"/>
        <v>199</v>
      </c>
      <c r="C204" s="6"/>
      <c r="D204" s="6"/>
      <c r="E204" s="6"/>
      <c r="F204" s="6"/>
      <c r="G204" s="6" t="s">
        <v>204</v>
      </c>
      <c r="H204" s="69">
        <f>H205</f>
        <v>26935</v>
      </c>
      <c r="I204" s="69">
        <f>I205</f>
        <v>9236</v>
      </c>
      <c r="J204" s="208">
        <f aca="true" t="shared" si="9" ref="J204:J276">I204/H204*100</f>
        <v>34.289957304622234</v>
      </c>
    </row>
    <row r="205" spans="2:10" ht="12.75">
      <c r="B205" s="249">
        <f t="shared" si="8"/>
        <v>200</v>
      </c>
      <c r="C205" s="3">
        <v>220</v>
      </c>
      <c r="D205" s="3"/>
      <c r="E205" s="3"/>
      <c r="F205" s="3"/>
      <c r="G205" s="3" t="s">
        <v>219</v>
      </c>
      <c r="H205" s="70">
        <f>H206</f>
        <v>26935</v>
      </c>
      <c r="I205" s="70">
        <f>I206</f>
        <v>9236</v>
      </c>
      <c r="J205" s="208">
        <f t="shared" si="9"/>
        <v>34.289957304622234</v>
      </c>
    </row>
    <row r="206" spans="2:10" ht="12.75">
      <c r="B206" s="249">
        <f t="shared" si="8"/>
        <v>201</v>
      </c>
      <c r="C206" s="4"/>
      <c r="D206" s="4">
        <v>223</v>
      </c>
      <c r="E206" s="4"/>
      <c r="F206" s="4"/>
      <c r="G206" s="4" t="s">
        <v>249</v>
      </c>
      <c r="H206" s="71">
        <f>SUM(H207:H209)</f>
        <v>26935</v>
      </c>
      <c r="I206" s="71">
        <f>SUM(I207:I209)</f>
        <v>9236</v>
      </c>
      <c r="J206" s="208">
        <f t="shared" si="9"/>
        <v>34.289957304622234</v>
      </c>
    </row>
    <row r="207" spans="2:10" ht="12.75">
      <c r="B207" s="249">
        <f aca="true" t="shared" si="10" ref="B207:B279">B206+1</f>
        <v>202</v>
      </c>
      <c r="C207" s="5"/>
      <c r="D207" s="5"/>
      <c r="E207" s="5">
        <v>223001</v>
      </c>
      <c r="F207" s="5"/>
      <c r="G207" s="5" t="s">
        <v>250</v>
      </c>
      <c r="H207" s="75">
        <v>3215</v>
      </c>
      <c r="I207" s="75">
        <v>1008</v>
      </c>
      <c r="J207" s="208">
        <f t="shared" si="9"/>
        <v>31.35303265940902</v>
      </c>
    </row>
    <row r="208" spans="2:10" ht="12.75">
      <c r="B208" s="249">
        <f t="shared" si="10"/>
        <v>203</v>
      </c>
      <c r="C208" s="5"/>
      <c r="D208" s="5"/>
      <c r="E208" s="5">
        <v>223002</v>
      </c>
      <c r="F208" s="5"/>
      <c r="G208" s="5" t="s">
        <v>66</v>
      </c>
      <c r="H208" s="75">
        <v>7375</v>
      </c>
      <c r="I208" s="75">
        <v>3049</v>
      </c>
      <c r="J208" s="208">
        <f t="shared" si="9"/>
        <v>41.342372881355935</v>
      </c>
    </row>
    <row r="209" spans="2:10" ht="12.75">
      <c r="B209" s="249">
        <f t="shared" si="10"/>
        <v>204</v>
      </c>
      <c r="C209" s="5"/>
      <c r="D209" s="5"/>
      <c r="E209" s="5">
        <v>223003</v>
      </c>
      <c r="F209" s="5"/>
      <c r="G209" s="5" t="s">
        <v>67</v>
      </c>
      <c r="H209" s="75">
        <v>16345</v>
      </c>
      <c r="I209" s="75">
        <v>5179</v>
      </c>
      <c r="J209" s="208">
        <f t="shared" si="9"/>
        <v>31.68553074334659</v>
      </c>
    </row>
    <row r="210" spans="2:10" ht="12.75">
      <c r="B210" s="249">
        <f t="shared" si="10"/>
        <v>205</v>
      </c>
      <c r="C210" s="6"/>
      <c r="D210" s="6"/>
      <c r="E210" s="6"/>
      <c r="F210" s="6"/>
      <c r="G210" s="6" t="s">
        <v>65</v>
      </c>
      <c r="H210" s="69">
        <f aca="true" t="shared" si="11" ref="H210:I212">H211</f>
        <v>7645</v>
      </c>
      <c r="I210" s="69">
        <f t="shared" si="11"/>
        <v>2183</v>
      </c>
      <c r="J210" s="208">
        <f t="shared" si="9"/>
        <v>28.55461085676913</v>
      </c>
    </row>
    <row r="211" spans="2:10" ht="12.75">
      <c r="B211" s="249">
        <f t="shared" si="10"/>
        <v>206</v>
      </c>
      <c r="C211" s="3">
        <v>220</v>
      </c>
      <c r="D211" s="3"/>
      <c r="E211" s="3"/>
      <c r="F211" s="3"/>
      <c r="G211" s="3" t="s">
        <v>219</v>
      </c>
      <c r="H211" s="70">
        <f t="shared" si="11"/>
        <v>7645</v>
      </c>
      <c r="I211" s="70">
        <f t="shared" si="11"/>
        <v>2183</v>
      </c>
      <c r="J211" s="208">
        <f t="shared" si="9"/>
        <v>28.55461085676913</v>
      </c>
    </row>
    <row r="212" spans="2:10" ht="12.75">
      <c r="B212" s="249">
        <f t="shared" si="10"/>
        <v>207</v>
      </c>
      <c r="C212" s="4"/>
      <c r="D212" s="4">
        <v>223</v>
      </c>
      <c r="E212" s="4"/>
      <c r="F212" s="4"/>
      <c r="G212" s="4" t="s">
        <v>249</v>
      </c>
      <c r="H212" s="71">
        <f t="shared" si="11"/>
        <v>7645</v>
      </c>
      <c r="I212" s="71">
        <f t="shared" si="11"/>
        <v>2183</v>
      </c>
      <c r="J212" s="208">
        <f t="shared" si="9"/>
        <v>28.55461085676913</v>
      </c>
    </row>
    <row r="213" spans="2:10" ht="12.75">
      <c r="B213" s="249">
        <f t="shared" si="10"/>
        <v>208</v>
      </c>
      <c r="C213" s="5"/>
      <c r="D213" s="5"/>
      <c r="E213" s="5">
        <v>223002</v>
      </c>
      <c r="F213" s="5"/>
      <c r="G213" s="5" t="s">
        <v>66</v>
      </c>
      <c r="H213" s="75">
        <v>7645</v>
      </c>
      <c r="I213" s="75">
        <v>2183</v>
      </c>
      <c r="J213" s="208">
        <f t="shared" si="9"/>
        <v>28.55461085676913</v>
      </c>
    </row>
    <row r="214" spans="2:10" ht="12.75">
      <c r="B214" s="249">
        <f t="shared" si="10"/>
        <v>209</v>
      </c>
      <c r="C214" s="6"/>
      <c r="D214" s="6"/>
      <c r="E214" s="6"/>
      <c r="F214" s="6"/>
      <c r="G214" s="6" t="s">
        <v>106</v>
      </c>
      <c r="H214" s="69">
        <f aca="true" t="shared" si="12" ref="H214:I216">H215</f>
        <v>22970</v>
      </c>
      <c r="I214" s="69">
        <f t="shared" si="12"/>
        <v>7585</v>
      </c>
      <c r="J214" s="208">
        <f t="shared" si="9"/>
        <v>33.02133217239878</v>
      </c>
    </row>
    <row r="215" spans="2:10" ht="12.75">
      <c r="B215" s="249">
        <f t="shared" si="10"/>
        <v>210</v>
      </c>
      <c r="C215" s="3">
        <v>220</v>
      </c>
      <c r="D215" s="3"/>
      <c r="E215" s="3"/>
      <c r="F215" s="3"/>
      <c r="G215" s="3" t="s">
        <v>219</v>
      </c>
      <c r="H215" s="70">
        <f t="shared" si="12"/>
        <v>22970</v>
      </c>
      <c r="I215" s="70">
        <f t="shared" si="12"/>
        <v>7585</v>
      </c>
      <c r="J215" s="208">
        <f t="shared" si="9"/>
        <v>33.02133217239878</v>
      </c>
    </row>
    <row r="216" spans="2:10" ht="12.75">
      <c r="B216" s="249">
        <f t="shared" si="10"/>
        <v>211</v>
      </c>
      <c r="C216" s="4"/>
      <c r="D216" s="4">
        <v>223</v>
      </c>
      <c r="E216" s="4"/>
      <c r="F216" s="4"/>
      <c r="G216" s="4" t="s">
        <v>249</v>
      </c>
      <c r="H216" s="71">
        <f t="shared" si="12"/>
        <v>22970</v>
      </c>
      <c r="I216" s="71">
        <f t="shared" si="12"/>
        <v>7585</v>
      </c>
      <c r="J216" s="208">
        <f t="shared" si="9"/>
        <v>33.02133217239878</v>
      </c>
    </row>
    <row r="217" spans="2:10" ht="12.75">
      <c r="B217" s="249">
        <f t="shared" si="10"/>
        <v>212</v>
      </c>
      <c r="C217" s="5"/>
      <c r="D217" s="5"/>
      <c r="E217" s="5">
        <v>223002</v>
      </c>
      <c r="F217" s="5"/>
      <c r="G217" s="5" t="s">
        <v>66</v>
      </c>
      <c r="H217" s="75">
        <v>22970</v>
      </c>
      <c r="I217" s="75">
        <v>7585</v>
      </c>
      <c r="J217" s="208">
        <f t="shared" si="9"/>
        <v>33.02133217239878</v>
      </c>
    </row>
    <row r="218" spans="2:10" ht="12.75">
      <c r="B218" s="249">
        <f t="shared" si="10"/>
        <v>213</v>
      </c>
      <c r="C218" s="6"/>
      <c r="D218" s="6"/>
      <c r="E218" s="6"/>
      <c r="F218" s="6"/>
      <c r="G218" s="6" t="s">
        <v>90</v>
      </c>
      <c r="H218" s="69">
        <f aca="true" t="shared" si="13" ref="H218:I220">H219</f>
        <v>3360</v>
      </c>
      <c r="I218" s="69">
        <f t="shared" si="13"/>
        <v>1620</v>
      </c>
      <c r="J218" s="208">
        <f t="shared" si="9"/>
        <v>48.214285714285715</v>
      </c>
    </row>
    <row r="219" spans="2:10" ht="12.75">
      <c r="B219" s="249">
        <f t="shared" si="10"/>
        <v>214</v>
      </c>
      <c r="C219" s="3">
        <v>220</v>
      </c>
      <c r="D219" s="3"/>
      <c r="E219" s="3"/>
      <c r="F219" s="3"/>
      <c r="G219" s="3" t="s">
        <v>219</v>
      </c>
      <c r="H219" s="70">
        <f t="shared" si="13"/>
        <v>3360</v>
      </c>
      <c r="I219" s="70">
        <f t="shared" si="13"/>
        <v>1620</v>
      </c>
      <c r="J219" s="208">
        <f t="shared" si="9"/>
        <v>48.214285714285715</v>
      </c>
    </row>
    <row r="220" spans="2:10" ht="12.75">
      <c r="B220" s="249">
        <f t="shared" si="10"/>
        <v>215</v>
      </c>
      <c r="C220" s="4"/>
      <c r="D220" s="4">
        <v>223</v>
      </c>
      <c r="E220" s="4"/>
      <c r="F220" s="4"/>
      <c r="G220" s="4" t="s">
        <v>249</v>
      </c>
      <c r="H220" s="71">
        <f t="shared" si="13"/>
        <v>3360</v>
      </c>
      <c r="I220" s="71">
        <f t="shared" si="13"/>
        <v>1620</v>
      </c>
      <c r="J220" s="208">
        <f t="shared" si="9"/>
        <v>48.214285714285715</v>
      </c>
    </row>
    <row r="221" spans="2:10" ht="12.75">
      <c r="B221" s="249">
        <f t="shared" si="10"/>
        <v>216</v>
      </c>
      <c r="C221" s="5"/>
      <c r="D221" s="5"/>
      <c r="E221" s="5">
        <v>223002</v>
      </c>
      <c r="F221" s="5"/>
      <c r="G221" s="5" t="s">
        <v>66</v>
      </c>
      <c r="H221" s="75">
        <v>3360</v>
      </c>
      <c r="I221" s="75">
        <v>1620</v>
      </c>
      <c r="J221" s="208">
        <f t="shared" si="9"/>
        <v>48.214285714285715</v>
      </c>
    </row>
    <row r="222" spans="2:10" ht="12.75">
      <c r="B222" s="249">
        <f t="shared" si="10"/>
        <v>217</v>
      </c>
      <c r="C222" s="6"/>
      <c r="D222" s="6"/>
      <c r="E222" s="6"/>
      <c r="F222" s="6"/>
      <c r="G222" s="6" t="s">
        <v>88</v>
      </c>
      <c r="H222" s="69">
        <f>H223</f>
        <v>57475</v>
      </c>
      <c r="I222" s="69">
        <f>I223</f>
        <v>8081</v>
      </c>
      <c r="J222" s="208">
        <f t="shared" si="9"/>
        <v>14.06002609830361</v>
      </c>
    </row>
    <row r="223" spans="2:10" ht="12.75">
      <c r="B223" s="249">
        <f t="shared" si="10"/>
        <v>218</v>
      </c>
      <c r="C223" s="3">
        <v>220</v>
      </c>
      <c r="D223" s="3"/>
      <c r="E223" s="3"/>
      <c r="F223" s="3"/>
      <c r="G223" s="3" t="s">
        <v>219</v>
      </c>
      <c r="H223" s="70">
        <f>H224</f>
        <v>57475</v>
      </c>
      <c r="I223" s="70">
        <f>I224</f>
        <v>8081</v>
      </c>
      <c r="J223" s="208">
        <f t="shared" si="9"/>
        <v>14.06002609830361</v>
      </c>
    </row>
    <row r="224" spans="2:10" ht="12.75">
      <c r="B224" s="249">
        <f t="shared" si="10"/>
        <v>219</v>
      </c>
      <c r="C224" s="4"/>
      <c r="D224" s="4">
        <v>223</v>
      </c>
      <c r="E224" s="4"/>
      <c r="F224" s="4"/>
      <c r="G224" s="4" t="s">
        <v>249</v>
      </c>
      <c r="H224" s="71">
        <f>H225+H226</f>
        <v>57475</v>
      </c>
      <c r="I224" s="71">
        <f>I225+I226</f>
        <v>8081</v>
      </c>
      <c r="J224" s="208">
        <f t="shared" si="9"/>
        <v>14.06002609830361</v>
      </c>
    </row>
    <row r="225" spans="2:10" ht="12.75">
      <c r="B225" s="249">
        <f t="shared" si="10"/>
        <v>220</v>
      </c>
      <c r="C225" s="5"/>
      <c r="D225" s="5"/>
      <c r="E225" s="5">
        <v>223001</v>
      </c>
      <c r="F225" s="5"/>
      <c r="G225" s="5" t="s">
        <v>250</v>
      </c>
      <c r="H225" s="75">
        <v>9260</v>
      </c>
      <c r="I225" s="75">
        <v>1578</v>
      </c>
      <c r="J225" s="208">
        <f t="shared" si="9"/>
        <v>17.041036717062635</v>
      </c>
    </row>
    <row r="226" spans="2:10" ht="12.75">
      <c r="B226" s="249">
        <f t="shared" si="10"/>
        <v>221</v>
      </c>
      <c r="C226" s="5"/>
      <c r="D226" s="5"/>
      <c r="E226" s="5">
        <v>223003</v>
      </c>
      <c r="F226" s="5"/>
      <c r="G226" s="5" t="s">
        <v>67</v>
      </c>
      <c r="H226" s="75">
        <v>48215</v>
      </c>
      <c r="I226" s="75">
        <v>6503</v>
      </c>
      <c r="J226" s="208">
        <f t="shared" si="9"/>
        <v>13.487503888831275</v>
      </c>
    </row>
    <row r="227" spans="2:10" ht="12.75">
      <c r="B227" s="249">
        <f t="shared" si="10"/>
        <v>222</v>
      </c>
      <c r="C227" s="6"/>
      <c r="D227" s="6"/>
      <c r="E227" s="6"/>
      <c r="F227" s="6"/>
      <c r="G227" s="6" t="s">
        <v>89</v>
      </c>
      <c r="H227" s="69">
        <f aca="true" t="shared" si="14" ref="H227:I229">H228</f>
        <v>1836</v>
      </c>
      <c r="I227" s="69">
        <f>I228+I231</f>
        <v>19934</v>
      </c>
      <c r="J227" s="208">
        <f t="shared" si="9"/>
        <v>1085.7298474945533</v>
      </c>
    </row>
    <row r="228" spans="2:10" ht="12.75">
      <c r="B228" s="249">
        <f t="shared" si="10"/>
        <v>223</v>
      </c>
      <c r="C228" s="3">
        <v>210</v>
      </c>
      <c r="D228" s="3"/>
      <c r="E228" s="3"/>
      <c r="F228" s="3"/>
      <c r="G228" s="3" t="s">
        <v>245</v>
      </c>
      <c r="H228" s="70">
        <f t="shared" si="14"/>
        <v>1836</v>
      </c>
      <c r="I228" s="70">
        <f t="shared" si="14"/>
        <v>2385</v>
      </c>
      <c r="J228" s="208">
        <f t="shared" si="9"/>
        <v>129.90196078431373</v>
      </c>
    </row>
    <row r="229" spans="2:10" ht="12.75">
      <c r="B229" s="249">
        <f t="shared" si="10"/>
        <v>224</v>
      </c>
      <c r="C229" s="4"/>
      <c r="D229" s="4">
        <v>212</v>
      </c>
      <c r="E229" s="4"/>
      <c r="F229" s="4"/>
      <c r="G229" s="4" t="s">
        <v>246</v>
      </c>
      <c r="H229" s="71">
        <f t="shared" si="14"/>
        <v>1836</v>
      </c>
      <c r="I229" s="71">
        <f t="shared" si="14"/>
        <v>2385</v>
      </c>
      <c r="J229" s="208">
        <f t="shared" si="9"/>
        <v>129.90196078431373</v>
      </c>
    </row>
    <row r="230" spans="2:10" ht="12.75">
      <c r="B230" s="249">
        <f t="shared" si="10"/>
        <v>225</v>
      </c>
      <c r="C230" s="5"/>
      <c r="D230" s="5"/>
      <c r="E230" s="5">
        <v>212003</v>
      </c>
      <c r="F230" s="5"/>
      <c r="G230" s="5" t="s">
        <v>247</v>
      </c>
      <c r="H230" s="75">
        <v>1836</v>
      </c>
      <c r="I230" s="75">
        <v>2385</v>
      </c>
      <c r="J230" s="208">
        <f t="shared" si="9"/>
        <v>129.90196078431373</v>
      </c>
    </row>
    <row r="231" spans="2:10" ht="12.75">
      <c r="B231" s="249">
        <f t="shared" si="10"/>
        <v>226</v>
      </c>
      <c r="C231" s="205">
        <v>290</v>
      </c>
      <c r="D231" s="205"/>
      <c r="E231" s="205"/>
      <c r="F231" s="205"/>
      <c r="G231" s="205" t="s">
        <v>173</v>
      </c>
      <c r="H231" s="206">
        <f>H232</f>
        <v>0</v>
      </c>
      <c r="I231" s="206">
        <f>I232</f>
        <v>17549</v>
      </c>
      <c r="J231" s="208">
        <v>0</v>
      </c>
    </row>
    <row r="232" spans="2:10" ht="12.75">
      <c r="B232" s="249">
        <f t="shared" si="10"/>
        <v>227</v>
      </c>
      <c r="C232" s="3"/>
      <c r="D232" s="4">
        <v>292</v>
      </c>
      <c r="E232" s="4"/>
      <c r="F232" s="4"/>
      <c r="G232" s="4" t="s">
        <v>174</v>
      </c>
      <c r="H232" s="71">
        <v>0</v>
      </c>
      <c r="I232" s="71">
        <f>I233+I234</f>
        <v>17549</v>
      </c>
      <c r="J232" s="208">
        <v>0</v>
      </c>
    </row>
    <row r="233" spans="2:10" ht="12.75">
      <c r="B233" s="249">
        <f t="shared" si="10"/>
        <v>228</v>
      </c>
      <c r="C233" s="4"/>
      <c r="D233" s="4"/>
      <c r="E233" s="4">
        <v>292012</v>
      </c>
      <c r="F233" s="4"/>
      <c r="G233" s="4" t="s">
        <v>230</v>
      </c>
      <c r="H233" s="71">
        <v>0</v>
      </c>
      <c r="I233" s="71">
        <v>15914</v>
      </c>
      <c r="J233" s="208">
        <v>0</v>
      </c>
    </row>
    <row r="234" spans="2:10" ht="13.5" thickBot="1">
      <c r="B234" s="249">
        <f t="shared" si="10"/>
        <v>229</v>
      </c>
      <c r="C234" s="4"/>
      <c r="D234" s="4"/>
      <c r="E234" s="4">
        <v>292019</v>
      </c>
      <c r="F234" s="4"/>
      <c r="G234" s="4" t="s">
        <v>586</v>
      </c>
      <c r="H234" s="71">
        <v>0</v>
      </c>
      <c r="I234" s="71">
        <v>1635</v>
      </c>
      <c r="J234" s="208">
        <v>0</v>
      </c>
    </row>
    <row r="235" spans="2:10" ht="15.75" thickBot="1">
      <c r="B235" s="249">
        <f t="shared" si="10"/>
        <v>230</v>
      </c>
      <c r="C235" s="11">
        <v>5</v>
      </c>
      <c r="D235" s="11"/>
      <c r="E235" s="11"/>
      <c r="F235" s="11"/>
      <c r="G235" s="11" t="s">
        <v>107</v>
      </c>
      <c r="H235" s="68">
        <f>H241+H248+H252+H259+H268+H277+H283+H288</f>
        <v>1151150</v>
      </c>
      <c r="I235" s="68">
        <f>I241+I248+I252+I259+I268+I277+I283+I288+I236</f>
        <v>458289</v>
      </c>
      <c r="J235" s="208">
        <f t="shared" si="9"/>
        <v>39.81140598531903</v>
      </c>
    </row>
    <row r="236" spans="2:10" ht="12.75">
      <c r="B236" s="249">
        <f t="shared" si="10"/>
        <v>231</v>
      </c>
      <c r="C236" s="6">
        <v>290</v>
      </c>
      <c r="D236" s="6"/>
      <c r="E236" s="6"/>
      <c r="F236" s="6"/>
      <c r="G236" s="6" t="s">
        <v>173</v>
      </c>
      <c r="H236" s="69">
        <f>H237</f>
        <v>0</v>
      </c>
      <c r="I236" s="69">
        <f>I237</f>
        <v>8355</v>
      </c>
      <c r="J236" s="208">
        <v>0</v>
      </c>
    </row>
    <row r="237" spans="2:10" ht="12.75">
      <c r="B237" s="249">
        <f t="shared" si="10"/>
        <v>232</v>
      </c>
      <c r="C237" s="3"/>
      <c r="D237" s="3">
        <v>292</v>
      </c>
      <c r="E237" s="3"/>
      <c r="F237" s="3"/>
      <c r="G237" s="3" t="s">
        <v>174</v>
      </c>
      <c r="H237" s="70">
        <v>0</v>
      </c>
      <c r="I237" s="70">
        <f>SUM(I238:I240)</f>
        <v>8355</v>
      </c>
      <c r="J237" s="208">
        <v>0</v>
      </c>
    </row>
    <row r="238" spans="2:10" ht="12.75">
      <c r="B238" s="249">
        <f t="shared" si="10"/>
        <v>233</v>
      </c>
      <c r="C238" s="4"/>
      <c r="D238" s="4"/>
      <c r="E238" s="4">
        <v>292012</v>
      </c>
      <c r="F238" s="4"/>
      <c r="G238" s="4" t="s">
        <v>230</v>
      </c>
      <c r="H238" s="71">
        <v>0</v>
      </c>
      <c r="I238" s="71">
        <v>5475</v>
      </c>
      <c r="J238" s="208">
        <v>0</v>
      </c>
    </row>
    <row r="239" spans="2:10" ht="12.75">
      <c r="B239" s="249">
        <f t="shared" si="10"/>
        <v>234</v>
      </c>
      <c r="C239" s="4"/>
      <c r="D239" s="4"/>
      <c r="E239" s="4">
        <v>292017</v>
      </c>
      <c r="F239" s="4"/>
      <c r="G239" s="4" t="s">
        <v>231</v>
      </c>
      <c r="H239" s="71">
        <v>0</v>
      </c>
      <c r="I239" s="71">
        <v>76</v>
      </c>
      <c r="J239" s="208">
        <v>0</v>
      </c>
    </row>
    <row r="240" spans="2:10" ht="12.75">
      <c r="B240" s="249">
        <f t="shared" si="10"/>
        <v>235</v>
      </c>
      <c r="C240" s="4"/>
      <c r="D240" s="4"/>
      <c r="E240" s="4">
        <v>292027</v>
      </c>
      <c r="F240" s="4"/>
      <c r="G240" s="4" t="s">
        <v>174</v>
      </c>
      <c r="H240" s="71">
        <v>0</v>
      </c>
      <c r="I240" s="71">
        <f>25+14+2765</f>
        <v>2804</v>
      </c>
      <c r="J240" s="208">
        <v>0</v>
      </c>
    </row>
    <row r="241" spans="2:10" ht="12.75">
      <c r="B241" s="249">
        <f t="shared" si="10"/>
        <v>236</v>
      </c>
      <c r="C241" s="6"/>
      <c r="D241" s="6"/>
      <c r="E241" s="6"/>
      <c r="F241" s="6"/>
      <c r="G241" s="6" t="s">
        <v>68</v>
      </c>
      <c r="H241" s="69">
        <f>H242</f>
        <v>139450</v>
      </c>
      <c r="I241" s="69">
        <f>I242</f>
        <v>22533</v>
      </c>
      <c r="J241" s="208">
        <f t="shared" si="9"/>
        <v>16.158479741842953</v>
      </c>
    </row>
    <row r="242" spans="2:10" ht="12.75">
      <c r="B242" s="249">
        <f t="shared" si="10"/>
        <v>237</v>
      </c>
      <c r="C242" s="3">
        <v>220</v>
      </c>
      <c r="D242" s="3"/>
      <c r="E242" s="3"/>
      <c r="F242" s="3"/>
      <c r="G242" s="3" t="s">
        <v>219</v>
      </c>
      <c r="H242" s="70">
        <f>H243</f>
        <v>139450</v>
      </c>
      <c r="I242" s="70">
        <f>I243</f>
        <v>22533</v>
      </c>
      <c r="J242" s="208">
        <f t="shared" si="9"/>
        <v>16.158479741842953</v>
      </c>
    </row>
    <row r="243" spans="2:10" ht="12.75">
      <c r="B243" s="249">
        <f t="shared" si="10"/>
        <v>238</v>
      </c>
      <c r="C243" s="4"/>
      <c r="D243" s="4">
        <v>223</v>
      </c>
      <c r="E243" s="4"/>
      <c r="F243" s="4"/>
      <c r="G243" s="4" t="s">
        <v>249</v>
      </c>
      <c r="H243" s="71">
        <f>SUM(H244:H247)</f>
        <v>139450</v>
      </c>
      <c r="I243" s="71">
        <f>SUM(I244:I247)</f>
        <v>22533</v>
      </c>
      <c r="J243" s="208">
        <f t="shared" si="9"/>
        <v>16.158479741842953</v>
      </c>
    </row>
    <row r="244" spans="2:10" ht="12.75">
      <c r="B244" s="249">
        <f t="shared" si="10"/>
        <v>239</v>
      </c>
      <c r="C244" s="5"/>
      <c r="D244" s="5"/>
      <c r="E244" s="5">
        <v>223002</v>
      </c>
      <c r="F244" s="5"/>
      <c r="G244" s="5" t="s">
        <v>66</v>
      </c>
      <c r="H244" s="75">
        <v>123600</v>
      </c>
      <c r="I244" s="75">
        <f>2862+15093</f>
        <v>17955</v>
      </c>
      <c r="J244" s="208">
        <f t="shared" si="9"/>
        <v>14.526699029126213</v>
      </c>
    </row>
    <row r="245" spans="2:10" ht="12.75">
      <c r="B245" s="249">
        <f t="shared" si="10"/>
        <v>240</v>
      </c>
      <c r="C245" s="5"/>
      <c r="D245" s="5"/>
      <c r="E245" s="5">
        <v>223003</v>
      </c>
      <c r="F245" s="5"/>
      <c r="G245" s="5" t="s">
        <v>312</v>
      </c>
      <c r="H245" s="75">
        <v>8250</v>
      </c>
      <c r="I245" s="75">
        <v>1681</v>
      </c>
      <c r="J245" s="208">
        <f t="shared" si="9"/>
        <v>20.375757575757575</v>
      </c>
    </row>
    <row r="246" spans="2:10" ht="12.75">
      <c r="B246" s="249">
        <f t="shared" si="10"/>
        <v>241</v>
      </c>
      <c r="C246" s="5"/>
      <c r="D246" s="5"/>
      <c r="E246" s="5">
        <v>223003</v>
      </c>
      <c r="F246" s="5"/>
      <c r="G246" s="5" t="s">
        <v>313</v>
      </c>
      <c r="H246" s="75">
        <v>6600</v>
      </c>
      <c r="I246" s="75">
        <v>2603</v>
      </c>
      <c r="J246" s="208">
        <f t="shared" si="9"/>
        <v>39.43939393939394</v>
      </c>
    </row>
    <row r="247" spans="2:10" ht="12.75">
      <c r="B247" s="249">
        <f t="shared" si="10"/>
        <v>242</v>
      </c>
      <c r="C247" s="5"/>
      <c r="D247" s="5"/>
      <c r="E247" s="5">
        <v>223003</v>
      </c>
      <c r="F247" s="5"/>
      <c r="G247" s="5" t="s">
        <v>314</v>
      </c>
      <c r="H247" s="75">
        <v>1000</v>
      </c>
      <c r="I247" s="75">
        <v>294</v>
      </c>
      <c r="J247" s="208">
        <f t="shared" si="9"/>
        <v>29.4</v>
      </c>
    </row>
    <row r="248" spans="2:10" ht="12.75">
      <c r="B248" s="249">
        <f t="shared" si="10"/>
        <v>243</v>
      </c>
      <c r="C248" s="6"/>
      <c r="D248" s="6"/>
      <c r="E248" s="6"/>
      <c r="F248" s="6"/>
      <c r="G248" s="6" t="s">
        <v>108</v>
      </c>
      <c r="H248" s="69">
        <f aca="true" t="shared" si="15" ref="H248:I250">H249</f>
        <v>2600</v>
      </c>
      <c r="I248" s="69">
        <f t="shared" si="15"/>
        <v>495</v>
      </c>
      <c r="J248" s="208">
        <f t="shared" si="9"/>
        <v>19.038461538461537</v>
      </c>
    </row>
    <row r="249" spans="2:10" ht="12.75">
      <c r="B249" s="249">
        <f t="shared" si="10"/>
        <v>244</v>
      </c>
      <c r="C249" s="3">
        <v>220</v>
      </c>
      <c r="D249" s="3"/>
      <c r="E249" s="3"/>
      <c r="F249" s="3"/>
      <c r="G249" s="3" t="s">
        <v>219</v>
      </c>
      <c r="H249" s="70">
        <f t="shared" si="15"/>
        <v>2600</v>
      </c>
      <c r="I249" s="70">
        <f t="shared" si="15"/>
        <v>495</v>
      </c>
      <c r="J249" s="208">
        <f t="shared" si="9"/>
        <v>19.038461538461537</v>
      </c>
    </row>
    <row r="250" spans="2:10" ht="12.75">
      <c r="B250" s="249">
        <f t="shared" si="10"/>
        <v>245</v>
      </c>
      <c r="C250" s="4"/>
      <c r="D250" s="4">
        <v>223</v>
      </c>
      <c r="E250" s="4"/>
      <c r="F250" s="4"/>
      <c r="G250" s="4" t="s">
        <v>249</v>
      </c>
      <c r="H250" s="71">
        <f t="shared" si="15"/>
        <v>2600</v>
      </c>
      <c r="I250" s="71">
        <f t="shared" si="15"/>
        <v>495</v>
      </c>
      <c r="J250" s="208">
        <f t="shared" si="9"/>
        <v>19.038461538461537</v>
      </c>
    </row>
    <row r="251" spans="2:10" ht="12.75">
      <c r="B251" s="249">
        <f t="shared" si="10"/>
        <v>246</v>
      </c>
      <c r="C251" s="5"/>
      <c r="D251" s="5"/>
      <c r="E251" s="5">
        <v>223001</v>
      </c>
      <c r="F251" s="5"/>
      <c r="G251" s="5" t="s">
        <v>250</v>
      </c>
      <c r="H251" s="75">
        <v>2600</v>
      </c>
      <c r="I251" s="75">
        <v>495</v>
      </c>
      <c r="J251" s="208">
        <f t="shared" si="9"/>
        <v>19.038461538461537</v>
      </c>
    </row>
    <row r="252" spans="2:10" ht="12.75">
      <c r="B252" s="249">
        <f t="shared" si="10"/>
        <v>247</v>
      </c>
      <c r="C252" s="6"/>
      <c r="D252" s="6"/>
      <c r="E252" s="6"/>
      <c r="F252" s="6"/>
      <c r="G252" s="6" t="s">
        <v>53</v>
      </c>
      <c r="H252" s="69">
        <f>H253+H256</f>
        <v>11400</v>
      </c>
      <c r="I252" s="69">
        <f>I253+I256</f>
        <v>4681</v>
      </c>
      <c r="J252" s="208">
        <f t="shared" si="9"/>
        <v>41.06140350877193</v>
      </c>
    </row>
    <row r="253" spans="2:10" ht="12.75">
      <c r="B253" s="249">
        <f t="shared" si="10"/>
        <v>248</v>
      </c>
      <c r="C253" s="3">
        <v>210</v>
      </c>
      <c r="D253" s="3"/>
      <c r="E253" s="3"/>
      <c r="F253" s="3"/>
      <c r="G253" s="3" t="s">
        <v>245</v>
      </c>
      <c r="H253" s="70">
        <f>H254</f>
        <v>3600</v>
      </c>
      <c r="I253" s="70">
        <f>I254</f>
        <v>1500</v>
      </c>
      <c r="J253" s="208">
        <f t="shared" si="9"/>
        <v>41.66666666666667</v>
      </c>
    </row>
    <row r="254" spans="2:10" ht="12.75">
      <c r="B254" s="249">
        <f t="shared" si="10"/>
        <v>249</v>
      </c>
      <c r="C254" s="4"/>
      <c r="D254" s="4">
        <v>212</v>
      </c>
      <c r="E254" s="4"/>
      <c r="F254" s="4"/>
      <c r="G254" s="4" t="s">
        <v>246</v>
      </c>
      <c r="H254" s="71">
        <f>H255</f>
        <v>3600</v>
      </c>
      <c r="I254" s="71">
        <f>I255</f>
        <v>1500</v>
      </c>
      <c r="J254" s="208">
        <f t="shared" si="9"/>
        <v>41.66666666666667</v>
      </c>
    </row>
    <row r="255" spans="2:10" ht="12.75">
      <c r="B255" s="249">
        <f t="shared" si="10"/>
        <v>250</v>
      </c>
      <c r="C255" s="5"/>
      <c r="D255" s="5"/>
      <c r="E255" s="5">
        <v>212003</v>
      </c>
      <c r="F255" s="5"/>
      <c r="G255" s="5" t="s">
        <v>247</v>
      </c>
      <c r="H255" s="75">
        <v>3600</v>
      </c>
      <c r="I255" s="75">
        <v>1500</v>
      </c>
      <c r="J255" s="208">
        <f t="shared" si="9"/>
        <v>41.66666666666667</v>
      </c>
    </row>
    <row r="256" spans="2:10" ht="12.75">
      <c r="B256" s="249">
        <f t="shared" si="10"/>
        <v>251</v>
      </c>
      <c r="C256" s="3">
        <v>220</v>
      </c>
      <c r="D256" s="3"/>
      <c r="E256" s="3"/>
      <c r="F256" s="3"/>
      <c r="G256" s="3" t="s">
        <v>219</v>
      </c>
      <c r="H256" s="70">
        <f>H257</f>
        <v>7800</v>
      </c>
      <c r="I256" s="70">
        <f>I257</f>
        <v>3181</v>
      </c>
      <c r="J256" s="208">
        <f t="shared" si="9"/>
        <v>40.782051282051285</v>
      </c>
    </row>
    <row r="257" spans="2:10" ht="12.75">
      <c r="B257" s="249">
        <f t="shared" si="10"/>
        <v>252</v>
      </c>
      <c r="C257" s="4"/>
      <c r="D257" s="4">
        <v>223</v>
      </c>
      <c r="E257" s="4"/>
      <c r="F257" s="4"/>
      <c r="G257" s="4" t="s">
        <v>249</v>
      </c>
      <c r="H257" s="71">
        <f>H258</f>
        <v>7800</v>
      </c>
      <c r="I257" s="71">
        <f>I258</f>
        <v>3181</v>
      </c>
      <c r="J257" s="208">
        <f t="shared" si="9"/>
        <v>40.782051282051285</v>
      </c>
    </row>
    <row r="258" spans="2:10" ht="12.75">
      <c r="B258" s="249">
        <f t="shared" si="10"/>
        <v>253</v>
      </c>
      <c r="C258" s="5"/>
      <c r="D258" s="5"/>
      <c r="E258" s="5">
        <v>223001</v>
      </c>
      <c r="F258" s="5"/>
      <c r="G258" s="5" t="s">
        <v>250</v>
      </c>
      <c r="H258" s="75">
        <v>7800</v>
      </c>
      <c r="I258" s="75">
        <v>3181</v>
      </c>
      <c r="J258" s="208">
        <f t="shared" si="9"/>
        <v>40.782051282051285</v>
      </c>
    </row>
    <row r="259" spans="2:10" ht="12.75">
      <c r="B259" s="249">
        <f t="shared" si="10"/>
        <v>254</v>
      </c>
      <c r="C259" s="6"/>
      <c r="D259" s="6"/>
      <c r="E259" s="6"/>
      <c r="F259" s="6"/>
      <c r="G259" s="6" t="s">
        <v>56</v>
      </c>
      <c r="H259" s="69">
        <f>H260+H263</f>
        <v>246600</v>
      </c>
      <c r="I259" s="69">
        <f>I260+I263</f>
        <v>116804</v>
      </c>
      <c r="J259" s="208">
        <f t="shared" si="9"/>
        <v>47.36577453365774</v>
      </c>
    </row>
    <row r="260" spans="2:10" ht="12.75">
      <c r="B260" s="249">
        <f t="shared" si="10"/>
        <v>255</v>
      </c>
      <c r="C260" s="3">
        <v>210</v>
      </c>
      <c r="D260" s="3"/>
      <c r="E260" s="3"/>
      <c r="F260" s="3"/>
      <c r="G260" s="3" t="s">
        <v>245</v>
      </c>
      <c r="H260" s="70">
        <f>H261</f>
        <v>500</v>
      </c>
      <c r="I260" s="70">
        <f>I261</f>
        <v>30</v>
      </c>
      <c r="J260" s="208">
        <f t="shared" si="9"/>
        <v>6</v>
      </c>
    </row>
    <row r="261" spans="2:10" ht="12.75">
      <c r="B261" s="249">
        <f t="shared" si="10"/>
        <v>256</v>
      </c>
      <c r="C261" s="4"/>
      <c r="D261" s="4">
        <v>212</v>
      </c>
      <c r="E261" s="4"/>
      <c r="F261" s="4"/>
      <c r="G261" s="4" t="s">
        <v>246</v>
      </c>
      <c r="H261" s="71">
        <f>H262</f>
        <v>500</v>
      </c>
      <c r="I261" s="71">
        <f>I262</f>
        <v>30</v>
      </c>
      <c r="J261" s="208">
        <f t="shared" si="9"/>
        <v>6</v>
      </c>
    </row>
    <row r="262" spans="2:10" ht="12.75">
      <c r="B262" s="249">
        <f t="shared" si="10"/>
        <v>257</v>
      </c>
      <c r="C262" s="5"/>
      <c r="D262" s="5"/>
      <c r="E262" s="5">
        <v>212003</v>
      </c>
      <c r="F262" s="5"/>
      <c r="G262" s="5" t="s">
        <v>247</v>
      </c>
      <c r="H262" s="75">
        <v>500</v>
      </c>
      <c r="I262" s="75">
        <v>30</v>
      </c>
      <c r="J262" s="208">
        <f t="shared" si="9"/>
        <v>6</v>
      </c>
    </row>
    <row r="263" spans="2:10" ht="12.75">
      <c r="B263" s="249">
        <f t="shared" si="10"/>
        <v>258</v>
      </c>
      <c r="C263" s="3">
        <v>220</v>
      </c>
      <c r="D263" s="3"/>
      <c r="E263" s="3"/>
      <c r="F263" s="3"/>
      <c r="G263" s="3" t="s">
        <v>219</v>
      </c>
      <c r="H263" s="70">
        <f>H264</f>
        <v>246100</v>
      </c>
      <c r="I263" s="70">
        <f>I264</f>
        <v>116774</v>
      </c>
      <c r="J263" s="208">
        <f t="shared" si="9"/>
        <v>47.449817147501015</v>
      </c>
    </row>
    <row r="264" spans="2:10" ht="12.75">
      <c r="B264" s="249">
        <f t="shared" si="10"/>
        <v>259</v>
      </c>
      <c r="C264" s="4"/>
      <c r="D264" s="4">
        <v>223</v>
      </c>
      <c r="E264" s="4"/>
      <c r="F264" s="4"/>
      <c r="G264" s="4" t="s">
        <v>249</v>
      </c>
      <c r="H264" s="71">
        <f>SUM(H265:H267)</f>
        <v>246100</v>
      </c>
      <c r="I264" s="71">
        <f>SUM(I265:I267)</f>
        <v>116774</v>
      </c>
      <c r="J264" s="208">
        <f t="shared" si="9"/>
        <v>47.449817147501015</v>
      </c>
    </row>
    <row r="265" spans="2:10" ht="12.75">
      <c r="B265" s="249">
        <f t="shared" si="10"/>
        <v>260</v>
      </c>
      <c r="C265" s="5"/>
      <c r="D265" s="5"/>
      <c r="E265" s="5">
        <v>223001</v>
      </c>
      <c r="F265" s="5"/>
      <c r="G265" s="5" t="s">
        <v>417</v>
      </c>
      <c r="H265" s="75">
        <v>31050</v>
      </c>
      <c r="I265" s="75">
        <v>10590</v>
      </c>
      <c r="J265" s="208">
        <f t="shared" si="9"/>
        <v>34.106280193236714</v>
      </c>
    </row>
    <row r="266" spans="2:10" ht="12.75">
      <c r="B266" s="249">
        <f t="shared" si="10"/>
        <v>261</v>
      </c>
      <c r="C266" s="5"/>
      <c r="D266" s="5"/>
      <c r="E266" s="5">
        <v>223001</v>
      </c>
      <c r="F266" s="5"/>
      <c r="G266" s="5" t="s">
        <v>315</v>
      </c>
      <c r="H266" s="75">
        <v>128800</v>
      </c>
      <c r="I266" s="75">
        <v>64284</v>
      </c>
      <c r="J266" s="208">
        <f t="shared" si="9"/>
        <v>49.909937888198755</v>
      </c>
    </row>
    <row r="267" spans="2:10" ht="12.75">
      <c r="B267" s="249">
        <f t="shared" si="10"/>
        <v>262</v>
      </c>
      <c r="C267" s="5"/>
      <c r="D267" s="5"/>
      <c r="E267" s="5">
        <v>223001</v>
      </c>
      <c r="F267" s="5"/>
      <c r="G267" s="5" t="s">
        <v>316</v>
      </c>
      <c r="H267" s="75">
        <v>86250</v>
      </c>
      <c r="I267" s="75">
        <v>41900</v>
      </c>
      <c r="J267" s="208">
        <f t="shared" si="9"/>
        <v>48.57971014492753</v>
      </c>
    </row>
    <row r="268" spans="2:10" ht="12.75">
      <c r="B268" s="249">
        <f t="shared" si="10"/>
        <v>263</v>
      </c>
      <c r="C268" s="6"/>
      <c r="D268" s="6"/>
      <c r="E268" s="6"/>
      <c r="F268" s="6"/>
      <c r="G268" s="6" t="s">
        <v>319</v>
      </c>
      <c r="H268" s="69">
        <f>H269+H272</f>
        <v>300550</v>
      </c>
      <c r="I268" s="69">
        <f>I269+I272</f>
        <v>126377</v>
      </c>
      <c r="J268" s="208">
        <f t="shared" si="9"/>
        <v>42.04857760771918</v>
      </c>
    </row>
    <row r="269" spans="2:10" ht="12.75">
      <c r="B269" s="249">
        <f t="shared" si="10"/>
        <v>264</v>
      </c>
      <c r="C269" s="3">
        <v>210</v>
      </c>
      <c r="D269" s="3"/>
      <c r="E269" s="3"/>
      <c r="F269" s="3"/>
      <c r="G269" s="3" t="s">
        <v>245</v>
      </c>
      <c r="H269" s="70">
        <f>H270</f>
        <v>400</v>
      </c>
      <c r="I269" s="70">
        <f>I270</f>
        <v>141</v>
      </c>
      <c r="J269" s="208">
        <f t="shared" si="9"/>
        <v>35.25</v>
      </c>
    </row>
    <row r="270" spans="2:10" ht="12.75">
      <c r="B270" s="249">
        <f t="shared" si="10"/>
        <v>265</v>
      </c>
      <c r="C270" s="4"/>
      <c r="D270" s="4">
        <v>212</v>
      </c>
      <c r="E270" s="4"/>
      <c r="F270" s="4"/>
      <c r="G270" s="4" t="s">
        <v>246</v>
      </c>
      <c r="H270" s="71">
        <f>H271</f>
        <v>400</v>
      </c>
      <c r="I270" s="71">
        <f>I271</f>
        <v>141</v>
      </c>
      <c r="J270" s="208">
        <f t="shared" si="9"/>
        <v>35.25</v>
      </c>
    </row>
    <row r="271" spans="2:10" ht="12.75">
      <c r="B271" s="249">
        <f t="shared" si="10"/>
        <v>266</v>
      </c>
      <c r="C271" s="5"/>
      <c r="D271" s="5"/>
      <c r="E271" s="5">
        <v>212003</v>
      </c>
      <c r="F271" s="5"/>
      <c r="G271" s="5" t="s">
        <v>247</v>
      </c>
      <c r="H271" s="75">
        <v>400</v>
      </c>
      <c r="I271" s="75">
        <v>141</v>
      </c>
      <c r="J271" s="208">
        <f t="shared" si="9"/>
        <v>35.25</v>
      </c>
    </row>
    <row r="272" spans="2:10" ht="12.75">
      <c r="B272" s="249">
        <f t="shared" si="10"/>
        <v>267</v>
      </c>
      <c r="C272" s="3">
        <v>220</v>
      </c>
      <c r="D272" s="3"/>
      <c r="E272" s="3"/>
      <c r="F272" s="3"/>
      <c r="G272" s="3" t="s">
        <v>219</v>
      </c>
      <c r="H272" s="70">
        <f>H273</f>
        <v>300150</v>
      </c>
      <c r="I272" s="70">
        <f>I273</f>
        <v>126236</v>
      </c>
      <c r="J272" s="208">
        <f t="shared" si="9"/>
        <v>42.0576378477428</v>
      </c>
    </row>
    <row r="273" spans="2:10" ht="12.75">
      <c r="B273" s="249">
        <f t="shared" si="10"/>
        <v>268</v>
      </c>
      <c r="C273" s="4"/>
      <c r="D273" s="4">
        <v>223</v>
      </c>
      <c r="E273" s="4"/>
      <c r="F273" s="4"/>
      <c r="G273" s="4" t="s">
        <v>249</v>
      </c>
      <c r="H273" s="71">
        <f>SUM(H274:H276)</f>
        <v>300150</v>
      </c>
      <c r="I273" s="71">
        <f>SUM(I274:I276)</f>
        <v>126236</v>
      </c>
      <c r="J273" s="208">
        <f t="shared" si="9"/>
        <v>42.0576378477428</v>
      </c>
    </row>
    <row r="274" spans="2:10" ht="12.75">
      <c r="B274" s="249">
        <f t="shared" si="10"/>
        <v>269</v>
      </c>
      <c r="C274" s="5"/>
      <c r="D274" s="5"/>
      <c r="E274" s="5">
        <v>223001</v>
      </c>
      <c r="F274" s="5"/>
      <c r="G274" s="5" t="s">
        <v>315</v>
      </c>
      <c r="H274" s="75">
        <v>98900</v>
      </c>
      <c r="I274" s="75">
        <v>39765</v>
      </c>
      <c r="J274" s="208">
        <f t="shared" si="9"/>
        <v>40.20728008088979</v>
      </c>
    </row>
    <row r="275" spans="2:10" ht="12.75">
      <c r="B275" s="249">
        <f t="shared" si="10"/>
        <v>270</v>
      </c>
      <c r="C275" s="5"/>
      <c r="D275" s="5"/>
      <c r="E275" s="5">
        <v>223001</v>
      </c>
      <c r="F275" s="5"/>
      <c r="G275" s="5" t="s">
        <v>317</v>
      </c>
      <c r="H275" s="75">
        <v>57500</v>
      </c>
      <c r="I275" s="75">
        <v>26826</v>
      </c>
      <c r="J275" s="208">
        <f t="shared" si="9"/>
        <v>46.65391304347826</v>
      </c>
    </row>
    <row r="276" spans="2:10" ht="12.75">
      <c r="B276" s="249">
        <f t="shared" si="10"/>
        <v>271</v>
      </c>
      <c r="C276" s="5"/>
      <c r="D276" s="5"/>
      <c r="E276" s="5">
        <v>223001</v>
      </c>
      <c r="F276" s="5"/>
      <c r="G276" s="5" t="s">
        <v>318</v>
      </c>
      <c r="H276" s="75">
        <v>143750</v>
      </c>
      <c r="I276" s="75">
        <v>59645</v>
      </c>
      <c r="J276" s="208">
        <f t="shared" si="9"/>
        <v>41.49217391304348</v>
      </c>
    </row>
    <row r="277" spans="2:10" ht="12.75">
      <c r="B277" s="249">
        <f t="shared" si="10"/>
        <v>272</v>
      </c>
      <c r="C277" s="6"/>
      <c r="D277" s="6"/>
      <c r="E277" s="6"/>
      <c r="F277" s="6"/>
      <c r="G277" s="6" t="s">
        <v>322</v>
      </c>
      <c r="H277" s="69">
        <f>H278</f>
        <v>198950</v>
      </c>
      <c r="I277" s="69">
        <f>I278</f>
        <v>94354</v>
      </c>
      <c r="J277" s="208">
        <f aca="true" t="shared" si="16" ref="J277:J345">I277/H277*100</f>
        <v>47.425986428750946</v>
      </c>
    </row>
    <row r="278" spans="2:10" ht="12.75">
      <c r="B278" s="249">
        <f t="shared" si="10"/>
        <v>273</v>
      </c>
      <c r="C278" s="3">
        <v>220</v>
      </c>
      <c r="D278" s="3"/>
      <c r="E278" s="3"/>
      <c r="F278" s="3"/>
      <c r="G278" s="3" t="s">
        <v>219</v>
      </c>
      <c r="H278" s="70">
        <f>H279</f>
        <v>198950</v>
      </c>
      <c r="I278" s="70">
        <f>I279</f>
        <v>94354</v>
      </c>
      <c r="J278" s="208">
        <f t="shared" si="16"/>
        <v>47.425986428750946</v>
      </c>
    </row>
    <row r="279" spans="2:10" ht="12.75">
      <c r="B279" s="249">
        <f t="shared" si="10"/>
        <v>274</v>
      </c>
      <c r="C279" s="4"/>
      <c r="D279" s="4">
        <v>223</v>
      </c>
      <c r="E279" s="4"/>
      <c r="F279" s="4"/>
      <c r="G279" s="4" t="s">
        <v>249</v>
      </c>
      <c r="H279" s="71">
        <f>SUM(H280:H282)</f>
        <v>198950</v>
      </c>
      <c r="I279" s="71">
        <f>SUM(I280:I282)</f>
        <v>94354</v>
      </c>
      <c r="J279" s="208">
        <f t="shared" si="16"/>
        <v>47.425986428750946</v>
      </c>
    </row>
    <row r="280" spans="2:10" ht="12.75">
      <c r="B280" s="249">
        <f aca="true" t="shared" si="17" ref="B280:B348">B279+1</f>
        <v>275</v>
      </c>
      <c r="C280" s="5"/>
      <c r="D280" s="5"/>
      <c r="E280" s="5">
        <v>223001</v>
      </c>
      <c r="F280" s="5"/>
      <c r="G280" s="5" t="s">
        <v>320</v>
      </c>
      <c r="H280" s="75">
        <v>135700</v>
      </c>
      <c r="I280" s="75">
        <f>64605+608</f>
        <v>65213</v>
      </c>
      <c r="J280" s="208">
        <f t="shared" si="16"/>
        <v>48.05674281503316</v>
      </c>
    </row>
    <row r="281" spans="2:10" ht="12.75">
      <c r="B281" s="249">
        <f t="shared" si="17"/>
        <v>276</v>
      </c>
      <c r="C281" s="5"/>
      <c r="D281" s="5"/>
      <c r="E281" s="5">
        <v>223001</v>
      </c>
      <c r="F281" s="5"/>
      <c r="G281" s="5" t="s">
        <v>317</v>
      </c>
      <c r="H281" s="75">
        <v>14950</v>
      </c>
      <c r="I281" s="75">
        <v>7517</v>
      </c>
      <c r="J281" s="208">
        <f t="shared" si="16"/>
        <v>50.2809364548495</v>
      </c>
    </row>
    <row r="282" spans="2:10" ht="12.75">
      <c r="B282" s="249">
        <f t="shared" si="17"/>
        <v>277</v>
      </c>
      <c r="C282" s="5"/>
      <c r="D282" s="5"/>
      <c r="E282" s="5">
        <v>223001</v>
      </c>
      <c r="F282" s="5"/>
      <c r="G282" s="5" t="s">
        <v>321</v>
      </c>
      <c r="H282" s="75">
        <v>48300</v>
      </c>
      <c r="I282" s="75">
        <v>21624</v>
      </c>
      <c r="J282" s="208">
        <f t="shared" si="16"/>
        <v>44.77018633540373</v>
      </c>
    </row>
    <row r="283" spans="2:10" ht="12.75">
      <c r="B283" s="249">
        <f t="shared" si="17"/>
        <v>278</v>
      </c>
      <c r="C283" s="6"/>
      <c r="D283" s="6"/>
      <c r="E283" s="6"/>
      <c r="F283" s="6"/>
      <c r="G283" s="6" t="s">
        <v>502</v>
      </c>
      <c r="H283" s="69">
        <f>H284</f>
        <v>236200</v>
      </c>
      <c r="I283" s="69">
        <f>I284</f>
        <v>79912</v>
      </c>
      <c r="J283" s="208">
        <f t="shared" si="16"/>
        <v>33.832345469940726</v>
      </c>
    </row>
    <row r="284" spans="2:10" ht="12.75">
      <c r="B284" s="249">
        <f t="shared" si="17"/>
        <v>279</v>
      </c>
      <c r="C284" s="3">
        <v>220</v>
      </c>
      <c r="D284" s="3"/>
      <c r="E284" s="3"/>
      <c r="F284" s="3"/>
      <c r="G284" s="3" t="s">
        <v>219</v>
      </c>
      <c r="H284" s="70">
        <f>H285</f>
        <v>236200</v>
      </c>
      <c r="I284" s="70">
        <f>I285</f>
        <v>79912</v>
      </c>
      <c r="J284" s="208">
        <f t="shared" si="16"/>
        <v>33.832345469940726</v>
      </c>
    </row>
    <row r="285" spans="2:10" ht="12.75">
      <c r="B285" s="249">
        <f t="shared" si="17"/>
        <v>280</v>
      </c>
      <c r="C285" s="4"/>
      <c r="D285" s="4">
        <v>223</v>
      </c>
      <c r="E285" s="4"/>
      <c r="F285" s="4"/>
      <c r="G285" s="4" t="s">
        <v>249</v>
      </c>
      <c r="H285" s="71">
        <f>H286+H287</f>
        <v>236200</v>
      </c>
      <c r="I285" s="71">
        <f>I286+I287</f>
        <v>79912</v>
      </c>
      <c r="J285" s="208">
        <f t="shared" si="16"/>
        <v>33.832345469940726</v>
      </c>
    </row>
    <row r="286" spans="2:10" ht="12.75">
      <c r="B286" s="249">
        <f t="shared" si="17"/>
        <v>281</v>
      </c>
      <c r="C286" s="5"/>
      <c r="D286" s="5"/>
      <c r="E286" s="5">
        <v>223001</v>
      </c>
      <c r="F286" s="5"/>
      <c r="G286" s="5" t="s">
        <v>323</v>
      </c>
      <c r="H286" s="75">
        <v>229000</v>
      </c>
      <c r="I286" s="75">
        <v>76679</v>
      </c>
      <c r="J286" s="208">
        <f t="shared" si="16"/>
        <v>33.48427947598253</v>
      </c>
    </row>
    <row r="287" spans="2:10" ht="12.75">
      <c r="B287" s="249">
        <f t="shared" si="17"/>
        <v>282</v>
      </c>
      <c r="C287" s="5"/>
      <c r="D287" s="5"/>
      <c r="E287" s="5">
        <v>223001</v>
      </c>
      <c r="F287" s="5"/>
      <c r="G287" s="5" t="s">
        <v>324</v>
      </c>
      <c r="H287" s="75">
        <v>7200</v>
      </c>
      <c r="I287" s="75">
        <v>3233</v>
      </c>
      <c r="J287" s="208">
        <f t="shared" si="16"/>
        <v>44.90277777777778</v>
      </c>
    </row>
    <row r="288" spans="2:10" ht="12.75">
      <c r="B288" s="249">
        <f t="shared" si="17"/>
        <v>283</v>
      </c>
      <c r="C288" s="6"/>
      <c r="D288" s="6"/>
      <c r="E288" s="6"/>
      <c r="F288" s="6"/>
      <c r="G288" s="6" t="s">
        <v>325</v>
      </c>
      <c r="H288" s="69">
        <f aca="true" t="shared" si="18" ref="H288:I290">H289</f>
        <v>15400</v>
      </c>
      <c r="I288" s="69">
        <f t="shared" si="18"/>
        <v>4778</v>
      </c>
      <c r="J288" s="208">
        <f t="shared" si="16"/>
        <v>31.025974025974023</v>
      </c>
    </row>
    <row r="289" spans="2:10" ht="12.75">
      <c r="B289" s="249">
        <f t="shared" si="17"/>
        <v>284</v>
      </c>
      <c r="C289" s="3">
        <v>220</v>
      </c>
      <c r="D289" s="3"/>
      <c r="E289" s="3"/>
      <c r="F289" s="3"/>
      <c r="G289" s="3" t="s">
        <v>219</v>
      </c>
      <c r="H289" s="70">
        <f t="shared" si="18"/>
        <v>15400</v>
      </c>
      <c r="I289" s="70">
        <f t="shared" si="18"/>
        <v>4778</v>
      </c>
      <c r="J289" s="208">
        <f t="shared" si="16"/>
        <v>31.025974025974023</v>
      </c>
    </row>
    <row r="290" spans="2:10" ht="12.75">
      <c r="B290" s="249">
        <f t="shared" si="17"/>
        <v>285</v>
      </c>
      <c r="C290" s="4"/>
      <c r="D290" s="4">
        <v>223</v>
      </c>
      <c r="E290" s="4"/>
      <c r="F290" s="4"/>
      <c r="G290" s="4" t="s">
        <v>249</v>
      </c>
      <c r="H290" s="71">
        <f t="shared" si="18"/>
        <v>15400</v>
      </c>
      <c r="I290" s="71">
        <f t="shared" si="18"/>
        <v>4778</v>
      </c>
      <c r="J290" s="208">
        <f t="shared" si="16"/>
        <v>31.025974025974023</v>
      </c>
    </row>
    <row r="291" spans="2:10" ht="13.5" thickBot="1">
      <c r="B291" s="249">
        <f t="shared" si="17"/>
        <v>286</v>
      </c>
      <c r="C291" s="5"/>
      <c r="D291" s="5"/>
      <c r="E291" s="5">
        <v>223001</v>
      </c>
      <c r="F291" s="5"/>
      <c r="G291" s="5" t="s">
        <v>250</v>
      </c>
      <c r="H291" s="75">
        <v>15400</v>
      </c>
      <c r="I291" s="75">
        <v>4778</v>
      </c>
      <c r="J291" s="208">
        <f t="shared" si="16"/>
        <v>31.025974025974023</v>
      </c>
    </row>
    <row r="292" spans="2:10" ht="15.75" thickBot="1">
      <c r="B292" s="249">
        <f t="shared" si="17"/>
        <v>287</v>
      </c>
      <c r="C292" s="11">
        <v>6</v>
      </c>
      <c r="D292" s="11"/>
      <c r="E292" s="11"/>
      <c r="F292" s="11"/>
      <c r="G292" s="11" t="s">
        <v>10</v>
      </c>
      <c r="H292" s="68">
        <f>H293+H296+H301</f>
        <v>66335</v>
      </c>
      <c r="I292" s="68">
        <f>I293+I296+I301</f>
        <v>31576</v>
      </c>
      <c r="J292" s="208">
        <f t="shared" si="16"/>
        <v>47.60081404989825</v>
      </c>
    </row>
    <row r="293" spans="2:10" ht="12.75">
      <c r="B293" s="249">
        <f t="shared" si="17"/>
        <v>288</v>
      </c>
      <c r="C293" s="6">
        <v>210</v>
      </c>
      <c r="D293" s="6"/>
      <c r="E293" s="6"/>
      <c r="F293" s="6"/>
      <c r="G293" s="6" t="s">
        <v>245</v>
      </c>
      <c r="H293" s="69">
        <f>H294</f>
        <v>1350</v>
      </c>
      <c r="I293" s="69">
        <f>I294</f>
        <v>625</v>
      </c>
      <c r="J293" s="208">
        <f t="shared" si="16"/>
        <v>46.2962962962963</v>
      </c>
    </row>
    <row r="294" spans="2:10" ht="12.75">
      <c r="B294" s="249">
        <f t="shared" si="17"/>
        <v>289</v>
      </c>
      <c r="C294" s="3"/>
      <c r="D294" s="3">
        <v>212</v>
      </c>
      <c r="E294" s="3"/>
      <c r="F294" s="3"/>
      <c r="G294" s="3" t="s">
        <v>246</v>
      </c>
      <c r="H294" s="70">
        <f>H295</f>
        <v>1350</v>
      </c>
      <c r="I294" s="70">
        <f>I295</f>
        <v>625</v>
      </c>
      <c r="J294" s="208">
        <f t="shared" si="16"/>
        <v>46.2962962962963</v>
      </c>
    </row>
    <row r="295" spans="2:10" ht="12.75">
      <c r="B295" s="249">
        <f t="shared" si="17"/>
        <v>290</v>
      </c>
      <c r="C295" s="4"/>
      <c r="D295" s="4"/>
      <c r="E295" s="4">
        <v>212003</v>
      </c>
      <c r="F295" s="4"/>
      <c r="G295" s="100" t="s">
        <v>247</v>
      </c>
      <c r="H295" s="71">
        <v>1350</v>
      </c>
      <c r="I295" s="71">
        <v>625</v>
      </c>
      <c r="J295" s="208">
        <f t="shared" si="16"/>
        <v>46.2962962962963</v>
      </c>
    </row>
    <row r="296" spans="2:10" ht="12.75">
      <c r="B296" s="249">
        <f t="shared" si="17"/>
        <v>291</v>
      </c>
      <c r="C296" s="6">
        <v>220</v>
      </c>
      <c r="D296" s="6"/>
      <c r="E296" s="6"/>
      <c r="F296" s="6"/>
      <c r="G296" s="6" t="s">
        <v>219</v>
      </c>
      <c r="H296" s="69">
        <f>H297</f>
        <v>64585</v>
      </c>
      <c r="I296" s="69">
        <f>I297</f>
        <v>29969</v>
      </c>
      <c r="J296" s="208">
        <f t="shared" si="16"/>
        <v>46.402415421537505</v>
      </c>
    </row>
    <row r="297" spans="2:10" ht="12.75">
      <c r="B297" s="249">
        <f t="shared" si="17"/>
        <v>292</v>
      </c>
      <c r="C297" s="3"/>
      <c r="D297" s="3">
        <v>223</v>
      </c>
      <c r="E297" s="3"/>
      <c r="F297" s="3"/>
      <c r="G297" s="3" t="s">
        <v>249</v>
      </c>
      <c r="H297" s="70">
        <f>H298+H299+H300</f>
        <v>64585</v>
      </c>
      <c r="I297" s="70">
        <f>I298+I299+I300</f>
        <v>29969</v>
      </c>
      <c r="J297" s="208">
        <f t="shared" si="16"/>
        <v>46.402415421537505</v>
      </c>
    </row>
    <row r="298" spans="2:10" ht="12.75">
      <c r="B298" s="249">
        <f t="shared" si="17"/>
        <v>293</v>
      </c>
      <c r="C298" s="4"/>
      <c r="D298" s="4"/>
      <c r="E298" s="4">
        <v>223001</v>
      </c>
      <c r="F298" s="4"/>
      <c r="G298" s="100" t="s">
        <v>250</v>
      </c>
      <c r="H298" s="71">
        <v>38560</v>
      </c>
      <c r="I298" s="71">
        <v>12363</v>
      </c>
      <c r="J298" s="208">
        <f t="shared" si="16"/>
        <v>32.06172199170125</v>
      </c>
    </row>
    <row r="299" spans="2:10" ht="12.75">
      <c r="B299" s="249">
        <f t="shared" si="17"/>
        <v>294</v>
      </c>
      <c r="C299" s="4"/>
      <c r="D299" s="4"/>
      <c r="E299" s="4">
        <v>223002</v>
      </c>
      <c r="F299" s="4"/>
      <c r="G299" s="100" t="s">
        <v>66</v>
      </c>
      <c r="H299" s="71">
        <v>25080</v>
      </c>
      <c r="I299" s="71">
        <v>9917</v>
      </c>
      <c r="J299" s="208">
        <f t="shared" si="16"/>
        <v>39.5414673046252</v>
      </c>
    </row>
    <row r="300" spans="2:10" ht="12.75">
      <c r="B300" s="249">
        <f t="shared" si="17"/>
        <v>295</v>
      </c>
      <c r="C300" s="4"/>
      <c r="D300" s="4"/>
      <c r="E300" s="4">
        <v>223003</v>
      </c>
      <c r="F300" s="4"/>
      <c r="G300" s="100" t="s">
        <v>67</v>
      </c>
      <c r="H300" s="71">
        <v>945</v>
      </c>
      <c r="I300" s="71">
        <v>7689</v>
      </c>
      <c r="J300" s="208">
        <f t="shared" si="16"/>
        <v>813.6507936507936</v>
      </c>
    </row>
    <row r="301" spans="2:10" ht="12.75">
      <c r="B301" s="249">
        <f t="shared" si="17"/>
        <v>296</v>
      </c>
      <c r="C301" s="6">
        <v>290</v>
      </c>
      <c r="D301" s="6"/>
      <c r="E301" s="6"/>
      <c r="F301" s="6"/>
      <c r="G301" s="6" t="s">
        <v>173</v>
      </c>
      <c r="H301" s="69">
        <f>H302</f>
        <v>400</v>
      </c>
      <c r="I301" s="69">
        <f>I302</f>
        <v>982</v>
      </c>
      <c r="J301" s="208">
        <f t="shared" si="16"/>
        <v>245.5</v>
      </c>
    </row>
    <row r="302" spans="2:10" ht="12.75">
      <c r="B302" s="249">
        <f t="shared" si="17"/>
        <v>297</v>
      </c>
      <c r="C302" s="3"/>
      <c r="D302" s="3">
        <v>292</v>
      </c>
      <c r="E302" s="3"/>
      <c r="F302" s="3"/>
      <c r="G302" s="3" t="s">
        <v>174</v>
      </c>
      <c r="H302" s="70">
        <f>H303</f>
        <v>400</v>
      </c>
      <c r="I302" s="70">
        <f>I303</f>
        <v>982</v>
      </c>
      <c r="J302" s="208">
        <f t="shared" si="16"/>
        <v>245.5</v>
      </c>
    </row>
    <row r="303" spans="2:10" ht="13.5" thickBot="1">
      <c r="B303" s="249">
        <f t="shared" si="17"/>
        <v>298</v>
      </c>
      <c r="C303" s="4"/>
      <c r="D303" s="4"/>
      <c r="E303" s="4">
        <v>292012</v>
      </c>
      <c r="F303" s="4"/>
      <c r="G303" s="4" t="s">
        <v>230</v>
      </c>
      <c r="H303" s="71">
        <v>400</v>
      </c>
      <c r="I303" s="71">
        <v>982</v>
      </c>
      <c r="J303" s="208">
        <f t="shared" si="16"/>
        <v>245.5</v>
      </c>
    </row>
    <row r="304" spans="2:10" ht="15.75" thickBot="1">
      <c r="B304" s="249">
        <f t="shared" si="17"/>
        <v>299</v>
      </c>
      <c r="C304" s="11">
        <v>7</v>
      </c>
      <c r="D304" s="11"/>
      <c r="E304" s="11"/>
      <c r="F304" s="11"/>
      <c r="G304" s="11" t="s">
        <v>11</v>
      </c>
      <c r="H304" s="68">
        <f>H305+H308+H313</f>
        <v>90165</v>
      </c>
      <c r="I304" s="68">
        <f>I305+I308+I313</f>
        <v>44001</v>
      </c>
      <c r="J304" s="208">
        <f t="shared" si="16"/>
        <v>48.80053235734486</v>
      </c>
    </row>
    <row r="305" spans="2:10" ht="12.75">
      <c r="B305" s="249">
        <f t="shared" si="17"/>
        <v>300</v>
      </c>
      <c r="C305" s="6">
        <v>210</v>
      </c>
      <c r="D305" s="6"/>
      <c r="E305" s="6"/>
      <c r="F305" s="6"/>
      <c r="G305" s="6" t="s">
        <v>245</v>
      </c>
      <c r="H305" s="69">
        <f>H306</f>
        <v>1425</v>
      </c>
      <c r="I305" s="69">
        <f>I306</f>
        <v>375</v>
      </c>
      <c r="J305" s="208">
        <f t="shared" si="16"/>
        <v>26.31578947368421</v>
      </c>
    </row>
    <row r="306" spans="2:10" ht="12.75">
      <c r="B306" s="249">
        <f t="shared" si="17"/>
        <v>301</v>
      </c>
      <c r="C306" s="3"/>
      <c r="D306" s="3">
        <v>212</v>
      </c>
      <c r="E306" s="3"/>
      <c r="F306" s="3"/>
      <c r="G306" s="3" t="s">
        <v>246</v>
      </c>
      <c r="H306" s="70">
        <f>H307</f>
        <v>1425</v>
      </c>
      <c r="I306" s="70">
        <f>I307</f>
        <v>375</v>
      </c>
      <c r="J306" s="208">
        <f t="shared" si="16"/>
        <v>26.31578947368421</v>
      </c>
    </row>
    <row r="307" spans="2:10" ht="12.75">
      <c r="B307" s="249">
        <f t="shared" si="17"/>
        <v>302</v>
      </c>
      <c r="C307" s="4"/>
      <c r="D307" s="4"/>
      <c r="E307" s="4">
        <v>212003</v>
      </c>
      <c r="F307" s="4"/>
      <c r="G307" s="4" t="s">
        <v>247</v>
      </c>
      <c r="H307" s="71">
        <v>1425</v>
      </c>
      <c r="I307" s="71">
        <v>375</v>
      </c>
      <c r="J307" s="208">
        <f t="shared" si="16"/>
        <v>26.31578947368421</v>
      </c>
    </row>
    <row r="308" spans="2:10" ht="12.75">
      <c r="B308" s="249">
        <f t="shared" si="17"/>
        <v>303</v>
      </c>
      <c r="C308" s="6">
        <v>220</v>
      </c>
      <c r="D308" s="6"/>
      <c r="E308" s="6"/>
      <c r="F308" s="6"/>
      <c r="G308" s="6" t="s">
        <v>219</v>
      </c>
      <c r="H308" s="69">
        <f>H309</f>
        <v>88740</v>
      </c>
      <c r="I308" s="69">
        <f>I309</f>
        <v>42980</v>
      </c>
      <c r="J308" s="208">
        <f t="shared" si="16"/>
        <v>48.433626324092856</v>
      </c>
    </row>
    <row r="309" spans="2:10" ht="12.75">
      <c r="B309" s="249">
        <f t="shared" si="17"/>
        <v>304</v>
      </c>
      <c r="C309" s="3"/>
      <c r="D309" s="3">
        <v>223</v>
      </c>
      <c r="E309" s="3"/>
      <c r="F309" s="3"/>
      <c r="G309" s="3" t="s">
        <v>249</v>
      </c>
      <c r="H309" s="70">
        <f>SUM(H310:H312)</f>
        <v>88740</v>
      </c>
      <c r="I309" s="70">
        <f>SUM(I310:I312)</f>
        <v>42980</v>
      </c>
      <c r="J309" s="208">
        <f t="shared" si="16"/>
        <v>48.433626324092856</v>
      </c>
    </row>
    <row r="310" spans="2:10" ht="12.75">
      <c r="B310" s="249">
        <f t="shared" si="17"/>
        <v>305</v>
      </c>
      <c r="C310" s="4"/>
      <c r="D310" s="4"/>
      <c r="E310" s="4">
        <v>223001</v>
      </c>
      <c r="F310" s="4"/>
      <c r="G310" s="4" t="s">
        <v>250</v>
      </c>
      <c r="H310" s="71">
        <v>8100</v>
      </c>
      <c r="I310" s="71">
        <v>4029</v>
      </c>
      <c r="J310" s="208">
        <f t="shared" si="16"/>
        <v>49.74074074074074</v>
      </c>
    </row>
    <row r="311" spans="2:10" ht="12.75">
      <c r="B311" s="249">
        <f t="shared" si="17"/>
        <v>306</v>
      </c>
      <c r="C311" s="4"/>
      <c r="D311" s="4"/>
      <c r="E311" s="4">
        <v>223002</v>
      </c>
      <c r="F311" s="4"/>
      <c r="G311" s="4" t="s">
        <v>66</v>
      </c>
      <c r="H311" s="71">
        <v>32640</v>
      </c>
      <c r="I311" s="71">
        <v>14244</v>
      </c>
      <c r="J311" s="208">
        <f t="shared" si="16"/>
        <v>43.63970588235294</v>
      </c>
    </row>
    <row r="312" spans="2:10" ht="12.75">
      <c r="B312" s="249">
        <f t="shared" si="17"/>
        <v>307</v>
      </c>
      <c r="C312" s="4"/>
      <c r="D312" s="4"/>
      <c r="E312" s="4">
        <v>223003</v>
      </c>
      <c r="F312" s="4"/>
      <c r="G312" s="4" t="s">
        <v>67</v>
      </c>
      <c r="H312" s="71">
        <v>48000</v>
      </c>
      <c r="I312" s="71">
        <v>24707</v>
      </c>
      <c r="J312" s="208">
        <f t="shared" si="16"/>
        <v>51.47291666666667</v>
      </c>
    </row>
    <row r="313" spans="2:10" ht="12.75">
      <c r="B313" s="249">
        <f t="shared" si="17"/>
        <v>308</v>
      </c>
      <c r="C313" s="6">
        <v>290</v>
      </c>
      <c r="D313" s="6"/>
      <c r="E313" s="6"/>
      <c r="F313" s="6"/>
      <c r="G313" s="6" t="s">
        <v>173</v>
      </c>
      <c r="H313" s="69">
        <f>H314</f>
        <v>0</v>
      </c>
      <c r="I313" s="69">
        <f>I314</f>
        <v>646</v>
      </c>
      <c r="J313" s="208">
        <v>0</v>
      </c>
    </row>
    <row r="314" spans="2:10" ht="12.75">
      <c r="B314" s="249">
        <f t="shared" si="17"/>
        <v>309</v>
      </c>
      <c r="C314" s="3"/>
      <c r="D314" s="3">
        <v>292</v>
      </c>
      <c r="E314" s="3"/>
      <c r="F314" s="3"/>
      <c r="G314" s="3" t="s">
        <v>174</v>
      </c>
      <c r="H314" s="70">
        <f>H315</f>
        <v>0</v>
      </c>
      <c r="I314" s="70">
        <f>I315</f>
        <v>646</v>
      </c>
      <c r="J314" s="208">
        <v>0</v>
      </c>
    </row>
    <row r="315" spans="2:10" ht="13.5" thickBot="1">
      <c r="B315" s="249">
        <f t="shared" si="17"/>
        <v>310</v>
      </c>
      <c r="C315" s="4"/>
      <c r="D315" s="4"/>
      <c r="E315" s="4">
        <v>292012</v>
      </c>
      <c r="F315" s="4"/>
      <c r="G315" s="4" t="s">
        <v>230</v>
      </c>
      <c r="H315" s="71">
        <v>0</v>
      </c>
      <c r="I315" s="71">
        <v>646</v>
      </c>
      <c r="J315" s="208">
        <v>0</v>
      </c>
    </row>
    <row r="316" spans="2:10" ht="15.75" thickBot="1">
      <c r="B316" s="249">
        <f t="shared" si="17"/>
        <v>311</v>
      </c>
      <c r="C316" s="11">
        <v>8</v>
      </c>
      <c r="D316" s="11"/>
      <c r="E316" s="11"/>
      <c r="F316" s="11"/>
      <c r="G316" s="11" t="s">
        <v>8</v>
      </c>
      <c r="H316" s="68">
        <f>H317+H320</f>
        <v>60178</v>
      </c>
      <c r="I316" s="68">
        <f>I317+I320+I323</f>
        <v>25123</v>
      </c>
      <c r="J316" s="208">
        <f t="shared" si="16"/>
        <v>41.74781481604573</v>
      </c>
    </row>
    <row r="317" spans="2:10" ht="12.75">
      <c r="B317" s="249">
        <f t="shared" si="17"/>
        <v>312</v>
      </c>
      <c r="C317" s="6">
        <v>210</v>
      </c>
      <c r="D317" s="6"/>
      <c r="E317" s="6"/>
      <c r="F317" s="6"/>
      <c r="G317" s="6" t="s">
        <v>245</v>
      </c>
      <c r="H317" s="69">
        <f>H318</f>
        <v>19378</v>
      </c>
      <c r="I317" s="69">
        <f>I318</f>
        <v>8845</v>
      </c>
      <c r="J317" s="208">
        <f t="shared" si="16"/>
        <v>45.64454536071834</v>
      </c>
    </row>
    <row r="318" spans="2:10" ht="12.75">
      <c r="B318" s="249">
        <f t="shared" si="17"/>
        <v>313</v>
      </c>
      <c r="C318" s="3"/>
      <c r="D318" s="3">
        <v>212</v>
      </c>
      <c r="E318" s="3"/>
      <c r="F318" s="3"/>
      <c r="G318" s="3" t="s">
        <v>246</v>
      </c>
      <c r="H318" s="70">
        <f>H319</f>
        <v>19378</v>
      </c>
      <c r="I318" s="70">
        <f>I319</f>
        <v>8845</v>
      </c>
      <c r="J318" s="208">
        <f t="shared" si="16"/>
        <v>45.64454536071834</v>
      </c>
    </row>
    <row r="319" spans="2:10" ht="12.75">
      <c r="B319" s="249">
        <f t="shared" si="17"/>
        <v>314</v>
      </c>
      <c r="C319" s="4"/>
      <c r="D319" s="4"/>
      <c r="E319" s="4">
        <v>212003</v>
      </c>
      <c r="F319" s="4"/>
      <c r="G319" s="4" t="s">
        <v>247</v>
      </c>
      <c r="H319" s="71">
        <v>19378</v>
      </c>
      <c r="I319" s="71">
        <v>8845</v>
      </c>
      <c r="J319" s="208">
        <f t="shared" si="16"/>
        <v>45.64454536071834</v>
      </c>
    </row>
    <row r="320" spans="2:10" ht="12.75">
      <c r="B320" s="249">
        <f t="shared" si="17"/>
        <v>315</v>
      </c>
      <c r="C320" s="6">
        <v>220</v>
      </c>
      <c r="D320" s="6"/>
      <c r="E320" s="6"/>
      <c r="F320" s="6"/>
      <c r="G320" s="6" t="s">
        <v>219</v>
      </c>
      <c r="H320" s="69">
        <f>H321</f>
        <v>40800</v>
      </c>
      <c r="I320" s="69">
        <f>I321</f>
        <v>15234</v>
      </c>
      <c r="J320" s="208">
        <f t="shared" si="16"/>
        <v>37.338235294117645</v>
      </c>
    </row>
    <row r="321" spans="2:10" ht="12.75">
      <c r="B321" s="249">
        <f t="shared" si="17"/>
        <v>316</v>
      </c>
      <c r="C321" s="3"/>
      <c r="D321" s="3">
        <v>223</v>
      </c>
      <c r="E321" s="3"/>
      <c r="F321" s="3"/>
      <c r="G321" s="3" t="s">
        <v>249</v>
      </c>
      <c r="H321" s="70">
        <f>H322</f>
        <v>40800</v>
      </c>
      <c r="I321" s="70">
        <f>I322</f>
        <v>15234</v>
      </c>
      <c r="J321" s="208">
        <f t="shared" si="16"/>
        <v>37.338235294117645</v>
      </c>
    </row>
    <row r="322" spans="2:10" ht="12.75">
      <c r="B322" s="249">
        <f t="shared" si="17"/>
        <v>317</v>
      </c>
      <c r="C322" s="4"/>
      <c r="D322" s="4"/>
      <c r="E322" s="4">
        <v>223002</v>
      </c>
      <c r="F322" s="4"/>
      <c r="G322" s="4" t="s">
        <v>66</v>
      </c>
      <c r="H322" s="71">
        <v>40800</v>
      </c>
      <c r="I322" s="71">
        <v>15234</v>
      </c>
      <c r="J322" s="208">
        <f t="shared" si="16"/>
        <v>37.338235294117645</v>
      </c>
    </row>
    <row r="323" spans="2:10" ht="12.75">
      <c r="B323" s="249">
        <f t="shared" si="17"/>
        <v>318</v>
      </c>
      <c r="C323" s="207"/>
      <c r="D323" s="3">
        <v>292</v>
      </c>
      <c r="E323" s="3"/>
      <c r="F323" s="3"/>
      <c r="G323" s="3" t="s">
        <v>174</v>
      </c>
      <c r="H323" s="70">
        <f>H324</f>
        <v>0</v>
      </c>
      <c r="I323" s="70">
        <f>I324</f>
        <v>1044</v>
      </c>
      <c r="J323" s="208">
        <v>0</v>
      </c>
    </row>
    <row r="324" spans="2:10" ht="13.5" thickBot="1">
      <c r="B324" s="249">
        <f t="shared" si="17"/>
        <v>319</v>
      </c>
      <c r="C324" s="207"/>
      <c r="D324" s="4"/>
      <c r="E324" s="4">
        <v>292012</v>
      </c>
      <c r="F324" s="4"/>
      <c r="G324" s="4" t="s">
        <v>230</v>
      </c>
      <c r="H324" s="71">
        <v>0</v>
      </c>
      <c r="I324" s="71">
        <v>1044</v>
      </c>
      <c r="J324" s="208">
        <v>0</v>
      </c>
    </row>
    <row r="325" spans="2:10" ht="15.75" thickBot="1">
      <c r="B325" s="249">
        <f t="shared" si="17"/>
        <v>320</v>
      </c>
      <c r="C325" s="11">
        <v>9</v>
      </c>
      <c r="D325" s="11"/>
      <c r="E325" s="11"/>
      <c r="F325" s="11"/>
      <c r="G325" s="11" t="s">
        <v>6</v>
      </c>
      <c r="H325" s="68">
        <f>H326+H329</f>
        <v>69040</v>
      </c>
      <c r="I325" s="68">
        <f>I326+I329</f>
        <v>17794</v>
      </c>
      <c r="J325" s="208">
        <f t="shared" si="16"/>
        <v>25.773464658169175</v>
      </c>
    </row>
    <row r="326" spans="2:10" ht="12.75">
      <c r="B326" s="249">
        <f t="shared" si="17"/>
        <v>321</v>
      </c>
      <c r="C326" s="6">
        <v>210</v>
      </c>
      <c r="D326" s="6"/>
      <c r="E326" s="6"/>
      <c r="F326" s="6"/>
      <c r="G326" s="6" t="s">
        <v>245</v>
      </c>
      <c r="H326" s="69">
        <f>H327</f>
        <v>3000</v>
      </c>
      <c r="I326" s="69">
        <f>I327</f>
        <v>655</v>
      </c>
      <c r="J326" s="208">
        <f t="shared" si="16"/>
        <v>21.833333333333332</v>
      </c>
    </row>
    <row r="327" spans="2:10" ht="12.75">
      <c r="B327" s="249">
        <f t="shared" si="17"/>
        <v>322</v>
      </c>
      <c r="C327" s="3"/>
      <c r="D327" s="3">
        <v>212</v>
      </c>
      <c r="E327" s="3"/>
      <c r="F327" s="3"/>
      <c r="G327" s="3" t="s">
        <v>246</v>
      </c>
      <c r="H327" s="70">
        <f>H328</f>
        <v>3000</v>
      </c>
      <c r="I327" s="70">
        <f>I328</f>
        <v>655</v>
      </c>
      <c r="J327" s="208">
        <f t="shared" si="16"/>
        <v>21.833333333333332</v>
      </c>
    </row>
    <row r="328" spans="2:10" ht="12.75">
      <c r="B328" s="249">
        <f t="shared" si="17"/>
        <v>323</v>
      </c>
      <c r="C328" s="4"/>
      <c r="D328" s="4"/>
      <c r="E328" s="4">
        <v>212003</v>
      </c>
      <c r="F328" s="4"/>
      <c r="G328" s="4" t="s">
        <v>247</v>
      </c>
      <c r="H328" s="71">
        <v>3000</v>
      </c>
      <c r="I328" s="71">
        <v>655</v>
      </c>
      <c r="J328" s="208">
        <f t="shared" si="16"/>
        <v>21.833333333333332</v>
      </c>
    </row>
    <row r="329" spans="2:10" ht="12.75">
      <c r="B329" s="249">
        <f t="shared" si="17"/>
        <v>324</v>
      </c>
      <c r="C329" s="6">
        <v>220</v>
      </c>
      <c r="D329" s="6"/>
      <c r="E329" s="6"/>
      <c r="F329" s="6"/>
      <c r="G329" s="6" t="s">
        <v>219</v>
      </c>
      <c r="H329" s="69">
        <f>H330</f>
        <v>66040</v>
      </c>
      <c r="I329" s="69">
        <f>I330</f>
        <v>17139</v>
      </c>
      <c r="J329" s="208">
        <f t="shared" si="16"/>
        <v>25.952453058752273</v>
      </c>
    </row>
    <row r="330" spans="2:10" ht="12.75">
      <c r="B330" s="249">
        <f t="shared" si="17"/>
        <v>325</v>
      </c>
      <c r="C330" s="3"/>
      <c r="D330" s="3">
        <v>223</v>
      </c>
      <c r="E330" s="3"/>
      <c r="F330" s="3"/>
      <c r="G330" s="3" t="s">
        <v>249</v>
      </c>
      <c r="H330" s="70">
        <f>H331+H332+H333</f>
        <v>66040</v>
      </c>
      <c r="I330" s="70">
        <f>I331+I332+I333</f>
        <v>17139</v>
      </c>
      <c r="J330" s="208">
        <f t="shared" si="16"/>
        <v>25.952453058752273</v>
      </c>
    </row>
    <row r="331" spans="2:10" ht="12.75">
      <c r="B331" s="249">
        <f t="shared" si="17"/>
        <v>326</v>
      </c>
      <c r="C331" s="4"/>
      <c r="D331" s="4"/>
      <c r="E331" s="4">
        <v>223001</v>
      </c>
      <c r="F331" s="4"/>
      <c r="G331" s="4" t="s">
        <v>250</v>
      </c>
      <c r="H331" s="71">
        <v>33600</v>
      </c>
      <c r="I331" s="71">
        <v>1173</v>
      </c>
      <c r="J331" s="208">
        <f t="shared" si="16"/>
        <v>3.491071428571429</v>
      </c>
    </row>
    <row r="332" spans="2:10" ht="12.75">
      <c r="B332" s="249">
        <f t="shared" si="17"/>
        <v>327</v>
      </c>
      <c r="C332" s="4"/>
      <c r="D332" s="4"/>
      <c r="E332" s="4">
        <v>223002</v>
      </c>
      <c r="F332" s="4"/>
      <c r="G332" s="4" t="s">
        <v>66</v>
      </c>
      <c r="H332" s="71">
        <v>18000</v>
      </c>
      <c r="I332" s="71">
        <v>8900</v>
      </c>
      <c r="J332" s="208">
        <f t="shared" si="16"/>
        <v>49.44444444444444</v>
      </c>
    </row>
    <row r="333" spans="2:10" ht="13.5" thickBot="1">
      <c r="B333" s="249">
        <f t="shared" si="17"/>
        <v>328</v>
      </c>
      <c r="C333" s="4"/>
      <c r="D333" s="4"/>
      <c r="E333" s="4">
        <v>223003</v>
      </c>
      <c r="F333" s="4"/>
      <c r="G333" s="4" t="s">
        <v>67</v>
      </c>
      <c r="H333" s="71">
        <v>14440</v>
      </c>
      <c r="I333" s="71">
        <v>7066</v>
      </c>
      <c r="J333" s="208">
        <f t="shared" si="16"/>
        <v>48.933518005540165</v>
      </c>
    </row>
    <row r="334" spans="2:10" ht="15.75" thickBot="1">
      <c r="B334" s="249">
        <f t="shared" si="17"/>
        <v>329</v>
      </c>
      <c r="C334" s="11">
        <v>10</v>
      </c>
      <c r="D334" s="11"/>
      <c r="E334" s="11"/>
      <c r="F334" s="11"/>
      <c r="G334" s="11" t="s">
        <v>1</v>
      </c>
      <c r="H334" s="68">
        <f>H335+H338</f>
        <v>115828</v>
      </c>
      <c r="I334" s="68">
        <f>I335+I338</f>
        <v>38455</v>
      </c>
      <c r="J334" s="208">
        <f t="shared" si="16"/>
        <v>33.200089788306805</v>
      </c>
    </row>
    <row r="335" spans="2:10" ht="12.75">
      <c r="B335" s="249">
        <f t="shared" si="17"/>
        <v>330</v>
      </c>
      <c r="C335" s="6">
        <v>210</v>
      </c>
      <c r="D335" s="6"/>
      <c r="E335" s="6"/>
      <c r="F335" s="6"/>
      <c r="G335" s="6" t="s">
        <v>245</v>
      </c>
      <c r="H335" s="69">
        <f>H336</f>
        <v>7100</v>
      </c>
      <c r="I335" s="69">
        <f>I336</f>
        <v>2898</v>
      </c>
      <c r="J335" s="208">
        <f t="shared" si="16"/>
        <v>40.816901408450704</v>
      </c>
    </row>
    <row r="336" spans="2:10" ht="12.75">
      <c r="B336" s="249">
        <f t="shared" si="17"/>
        <v>331</v>
      </c>
      <c r="C336" s="3"/>
      <c r="D336" s="3">
        <v>212</v>
      </c>
      <c r="E336" s="3"/>
      <c r="F336" s="3"/>
      <c r="G336" s="3" t="s">
        <v>246</v>
      </c>
      <c r="H336" s="70">
        <f>H337</f>
        <v>7100</v>
      </c>
      <c r="I336" s="70">
        <f>I337</f>
        <v>2898</v>
      </c>
      <c r="J336" s="208">
        <f t="shared" si="16"/>
        <v>40.816901408450704</v>
      </c>
    </row>
    <row r="337" spans="2:10" ht="12.75">
      <c r="B337" s="249">
        <f t="shared" si="17"/>
        <v>332</v>
      </c>
      <c r="C337" s="4"/>
      <c r="D337" s="4"/>
      <c r="E337" s="4">
        <v>212003</v>
      </c>
      <c r="F337" s="4"/>
      <c r="G337" s="4" t="s">
        <v>247</v>
      </c>
      <c r="H337" s="71">
        <v>7100</v>
      </c>
      <c r="I337" s="71">
        <v>2898</v>
      </c>
      <c r="J337" s="208">
        <f t="shared" si="16"/>
        <v>40.816901408450704</v>
      </c>
    </row>
    <row r="338" spans="2:10" ht="12.75">
      <c r="B338" s="249">
        <f t="shared" si="17"/>
        <v>333</v>
      </c>
      <c r="C338" s="6">
        <v>220</v>
      </c>
      <c r="D338" s="6"/>
      <c r="E338" s="6"/>
      <c r="F338" s="6"/>
      <c r="G338" s="6" t="s">
        <v>219</v>
      </c>
      <c r="H338" s="69">
        <f>H339</f>
        <v>108728</v>
      </c>
      <c r="I338" s="69">
        <f>I339</f>
        <v>35557</v>
      </c>
      <c r="J338" s="208">
        <f t="shared" si="16"/>
        <v>32.702707674196155</v>
      </c>
    </row>
    <row r="339" spans="2:10" ht="12.75">
      <c r="B339" s="249">
        <f t="shared" si="17"/>
        <v>334</v>
      </c>
      <c r="C339" s="3"/>
      <c r="D339" s="3">
        <v>223</v>
      </c>
      <c r="E339" s="3"/>
      <c r="F339" s="3"/>
      <c r="G339" s="3" t="s">
        <v>249</v>
      </c>
      <c r="H339" s="70">
        <f>SUM(H340:H342)</f>
        <v>108728</v>
      </c>
      <c r="I339" s="70">
        <f>SUM(I340:I342)</f>
        <v>35557</v>
      </c>
      <c r="J339" s="208">
        <f t="shared" si="16"/>
        <v>32.702707674196155</v>
      </c>
    </row>
    <row r="340" spans="2:10" ht="12.75">
      <c r="B340" s="249">
        <f t="shared" si="17"/>
        <v>335</v>
      </c>
      <c r="C340" s="4"/>
      <c r="D340" s="4"/>
      <c r="E340" s="4">
        <v>223001</v>
      </c>
      <c r="F340" s="4"/>
      <c r="G340" s="4" t="s">
        <v>250</v>
      </c>
      <c r="H340" s="71">
        <v>40400</v>
      </c>
      <c r="I340" s="71">
        <v>9777</v>
      </c>
      <c r="J340" s="208">
        <f t="shared" si="16"/>
        <v>24.20049504950495</v>
      </c>
    </row>
    <row r="341" spans="2:10" ht="12.75">
      <c r="B341" s="249">
        <f t="shared" si="17"/>
        <v>336</v>
      </c>
      <c r="C341" s="4"/>
      <c r="D341" s="4"/>
      <c r="E341" s="4">
        <v>223002</v>
      </c>
      <c r="F341" s="4"/>
      <c r="G341" s="4" t="s">
        <v>66</v>
      </c>
      <c r="H341" s="71">
        <v>15000</v>
      </c>
      <c r="I341" s="71">
        <v>6693</v>
      </c>
      <c r="J341" s="208">
        <f t="shared" si="16"/>
        <v>44.62</v>
      </c>
    </row>
    <row r="342" spans="2:10" ht="13.5" thickBot="1">
      <c r="B342" s="249">
        <f t="shared" si="17"/>
        <v>337</v>
      </c>
      <c r="C342" s="4"/>
      <c r="D342" s="4"/>
      <c r="E342" s="4">
        <v>223003</v>
      </c>
      <c r="F342" s="4"/>
      <c r="G342" s="4" t="s">
        <v>67</v>
      </c>
      <c r="H342" s="71">
        <v>53328</v>
      </c>
      <c r="I342" s="71">
        <v>19087</v>
      </c>
      <c r="J342" s="208">
        <f t="shared" si="16"/>
        <v>35.79170417041704</v>
      </c>
    </row>
    <row r="343" spans="2:10" ht="15.75" thickBot="1">
      <c r="B343" s="249">
        <f t="shared" si="17"/>
        <v>338</v>
      </c>
      <c r="C343" s="11">
        <v>11</v>
      </c>
      <c r="D343" s="11"/>
      <c r="E343" s="11"/>
      <c r="F343" s="11"/>
      <c r="G343" s="11" t="s">
        <v>9</v>
      </c>
      <c r="H343" s="68">
        <f>H344+H347+H352</f>
        <v>139319</v>
      </c>
      <c r="I343" s="68">
        <f>I344+I347+I352</f>
        <v>53442</v>
      </c>
      <c r="J343" s="208">
        <f t="shared" si="16"/>
        <v>38.35944846000904</v>
      </c>
    </row>
    <row r="344" spans="2:10" ht="12.75">
      <c r="B344" s="249">
        <f t="shared" si="17"/>
        <v>339</v>
      </c>
      <c r="C344" s="6">
        <v>210</v>
      </c>
      <c r="D344" s="6"/>
      <c r="E344" s="6"/>
      <c r="F344" s="6"/>
      <c r="G344" s="6" t="s">
        <v>245</v>
      </c>
      <c r="H344" s="69">
        <f>H345</f>
        <v>29649</v>
      </c>
      <c r="I344" s="69">
        <f>I345</f>
        <v>12312</v>
      </c>
      <c r="J344" s="208">
        <f t="shared" si="16"/>
        <v>41.52585247394516</v>
      </c>
    </row>
    <row r="345" spans="2:10" ht="12.75">
      <c r="B345" s="249">
        <f t="shared" si="17"/>
        <v>340</v>
      </c>
      <c r="C345" s="3"/>
      <c r="D345" s="3">
        <v>212</v>
      </c>
      <c r="E345" s="3"/>
      <c r="F345" s="3"/>
      <c r="G345" s="3" t="s">
        <v>246</v>
      </c>
      <c r="H345" s="70">
        <f>H346</f>
        <v>29649</v>
      </c>
      <c r="I345" s="70">
        <f>I346</f>
        <v>12312</v>
      </c>
      <c r="J345" s="208">
        <f t="shared" si="16"/>
        <v>41.52585247394516</v>
      </c>
    </row>
    <row r="346" spans="2:10" ht="12.75">
      <c r="B346" s="249">
        <f t="shared" si="17"/>
        <v>341</v>
      </c>
      <c r="C346" s="4"/>
      <c r="D346" s="4"/>
      <c r="E346" s="4">
        <v>212003</v>
      </c>
      <c r="F346" s="4"/>
      <c r="G346" s="4" t="s">
        <v>247</v>
      </c>
      <c r="H346" s="71">
        <v>29649</v>
      </c>
      <c r="I346" s="71">
        <v>12312</v>
      </c>
      <c r="J346" s="208">
        <f aca="true" t="shared" si="19" ref="J346:J429">I346/H346*100</f>
        <v>41.52585247394516</v>
      </c>
    </row>
    <row r="347" spans="2:10" ht="12.75">
      <c r="B347" s="249">
        <f t="shared" si="17"/>
        <v>342</v>
      </c>
      <c r="C347" s="6">
        <v>220</v>
      </c>
      <c r="D347" s="6"/>
      <c r="E347" s="6"/>
      <c r="F347" s="6"/>
      <c r="G347" s="6" t="s">
        <v>219</v>
      </c>
      <c r="H347" s="69">
        <f>H348</f>
        <v>109670</v>
      </c>
      <c r="I347" s="69">
        <f>I348</f>
        <v>40720</v>
      </c>
      <c r="J347" s="208">
        <f t="shared" si="19"/>
        <v>37.12957052977114</v>
      </c>
    </row>
    <row r="348" spans="2:10" ht="12.75">
      <c r="B348" s="249">
        <f t="shared" si="17"/>
        <v>343</v>
      </c>
      <c r="C348" s="3"/>
      <c r="D348" s="3">
        <v>223</v>
      </c>
      <c r="E348" s="3"/>
      <c r="F348" s="3"/>
      <c r="G348" s="3" t="s">
        <v>249</v>
      </c>
      <c r="H348" s="70">
        <f>SUM(H349:H351)</f>
        <v>109670</v>
      </c>
      <c r="I348" s="70">
        <f>SUM(I349:I351)</f>
        <v>40720</v>
      </c>
      <c r="J348" s="208">
        <f t="shared" si="19"/>
        <v>37.12957052977114</v>
      </c>
    </row>
    <row r="349" spans="2:10" ht="12.75">
      <c r="B349" s="249">
        <f aca="true" t="shared" si="20" ref="B349:B443">B348+1</f>
        <v>344</v>
      </c>
      <c r="C349" s="4"/>
      <c r="D349" s="4"/>
      <c r="E349" s="4">
        <v>223001</v>
      </c>
      <c r="F349" s="4"/>
      <c r="G349" s="4" t="s">
        <v>250</v>
      </c>
      <c r="H349" s="71">
        <v>59680</v>
      </c>
      <c r="I349" s="71">
        <v>19122</v>
      </c>
      <c r="J349" s="208">
        <f t="shared" si="19"/>
        <v>32.04088471849866</v>
      </c>
    </row>
    <row r="350" spans="2:10" ht="12.75">
      <c r="B350" s="249">
        <f t="shared" si="20"/>
        <v>345</v>
      </c>
      <c r="C350" s="4"/>
      <c r="D350" s="4"/>
      <c r="E350" s="4">
        <v>223002</v>
      </c>
      <c r="F350" s="4"/>
      <c r="G350" s="4" t="s">
        <v>66</v>
      </c>
      <c r="H350" s="71">
        <v>30600</v>
      </c>
      <c r="I350" s="71">
        <v>9399</v>
      </c>
      <c r="J350" s="208">
        <f t="shared" si="19"/>
        <v>30.7156862745098</v>
      </c>
    </row>
    <row r="351" spans="2:10" ht="12.75">
      <c r="B351" s="249">
        <f t="shared" si="20"/>
        <v>346</v>
      </c>
      <c r="C351" s="4"/>
      <c r="D351" s="4"/>
      <c r="E351" s="4">
        <v>223003</v>
      </c>
      <c r="F351" s="4"/>
      <c r="G351" s="4" t="s">
        <v>67</v>
      </c>
      <c r="H351" s="71">
        <v>19390</v>
      </c>
      <c r="I351" s="71">
        <v>12199</v>
      </c>
      <c r="J351" s="208">
        <f t="shared" si="19"/>
        <v>62.91387313047962</v>
      </c>
    </row>
    <row r="352" spans="2:10" ht="12.75">
      <c r="B352" s="249">
        <f t="shared" si="20"/>
        <v>347</v>
      </c>
      <c r="C352" s="6">
        <v>290</v>
      </c>
      <c r="D352" s="6"/>
      <c r="E352" s="6"/>
      <c r="F352" s="6"/>
      <c r="G352" s="6" t="s">
        <v>173</v>
      </c>
      <c r="H352" s="69">
        <f>H353</f>
        <v>0</v>
      </c>
      <c r="I352" s="69">
        <f>I353</f>
        <v>410</v>
      </c>
      <c r="J352" s="208">
        <v>0</v>
      </c>
    </row>
    <row r="353" spans="2:10" ht="12.75">
      <c r="B353" s="249">
        <f t="shared" si="20"/>
        <v>348</v>
      </c>
      <c r="C353" s="3"/>
      <c r="D353" s="3">
        <v>292</v>
      </c>
      <c r="E353" s="3"/>
      <c r="F353" s="3"/>
      <c r="G353" s="3" t="s">
        <v>174</v>
      </c>
      <c r="H353" s="70">
        <f>H354</f>
        <v>0</v>
      </c>
      <c r="I353" s="70">
        <f>I354</f>
        <v>410</v>
      </c>
      <c r="J353" s="208">
        <v>0</v>
      </c>
    </row>
    <row r="354" spans="2:10" ht="13.5" thickBot="1">
      <c r="B354" s="249">
        <f t="shared" si="20"/>
        <v>349</v>
      </c>
      <c r="C354" s="4"/>
      <c r="D354" s="4"/>
      <c r="E354" s="4">
        <v>292012</v>
      </c>
      <c r="F354" s="4"/>
      <c r="G354" s="4" t="s">
        <v>230</v>
      </c>
      <c r="H354" s="71">
        <v>0</v>
      </c>
      <c r="I354" s="71">
        <v>410</v>
      </c>
      <c r="J354" s="208">
        <v>0</v>
      </c>
    </row>
    <row r="355" spans="2:10" ht="15.75" thickBot="1">
      <c r="B355" s="249">
        <f t="shared" si="20"/>
        <v>350</v>
      </c>
      <c r="C355" s="11">
        <v>12</v>
      </c>
      <c r="D355" s="11"/>
      <c r="E355" s="11"/>
      <c r="F355" s="11"/>
      <c r="G355" s="11" t="s">
        <v>7</v>
      </c>
      <c r="H355" s="68">
        <f>H356+H359</f>
        <v>128000</v>
      </c>
      <c r="I355" s="68">
        <f>I356+I359</f>
        <v>41859</v>
      </c>
      <c r="J355" s="208">
        <f t="shared" si="19"/>
        <v>32.702343750000004</v>
      </c>
    </row>
    <row r="356" spans="2:10" ht="12.75">
      <c r="B356" s="249">
        <f t="shared" si="20"/>
        <v>351</v>
      </c>
      <c r="C356" s="6">
        <v>210</v>
      </c>
      <c r="D356" s="6"/>
      <c r="E356" s="6"/>
      <c r="F356" s="6"/>
      <c r="G356" s="6" t="s">
        <v>245</v>
      </c>
      <c r="H356" s="69">
        <f>H357</f>
        <v>3000</v>
      </c>
      <c r="I356" s="69">
        <f>I357</f>
        <v>1144</v>
      </c>
      <c r="J356" s="208">
        <f t="shared" si="19"/>
        <v>38.13333333333333</v>
      </c>
    </row>
    <row r="357" spans="2:10" ht="12.75">
      <c r="B357" s="249">
        <f t="shared" si="20"/>
        <v>352</v>
      </c>
      <c r="C357" s="3"/>
      <c r="D357" s="3">
        <v>212</v>
      </c>
      <c r="E357" s="3"/>
      <c r="F357" s="3"/>
      <c r="G357" s="3" t="s">
        <v>246</v>
      </c>
      <c r="H357" s="70">
        <f>H358</f>
        <v>3000</v>
      </c>
      <c r="I357" s="70">
        <f>I358</f>
        <v>1144</v>
      </c>
      <c r="J357" s="208">
        <f t="shared" si="19"/>
        <v>38.13333333333333</v>
      </c>
    </row>
    <row r="358" spans="2:10" ht="12.75">
      <c r="B358" s="249">
        <f t="shared" si="20"/>
        <v>353</v>
      </c>
      <c r="C358" s="4"/>
      <c r="D358" s="4"/>
      <c r="E358" s="4">
        <v>212003</v>
      </c>
      <c r="F358" s="4"/>
      <c r="G358" s="4" t="s">
        <v>247</v>
      </c>
      <c r="H358" s="71">
        <v>3000</v>
      </c>
      <c r="I358" s="71">
        <v>1144</v>
      </c>
      <c r="J358" s="208">
        <f t="shared" si="19"/>
        <v>38.13333333333333</v>
      </c>
    </row>
    <row r="359" spans="2:10" ht="12.75">
      <c r="B359" s="249">
        <f t="shared" si="20"/>
        <v>354</v>
      </c>
      <c r="C359" s="6">
        <v>220</v>
      </c>
      <c r="D359" s="6"/>
      <c r="E359" s="6"/>
      <c r="F359" s="6"/>
      <c r="G359" s="6" t="s">
        <v>219</v>
      </c>
      <c r="H359" s="69">
        <f>H360</f>
        <v>125000</v>
      </c>
      <c r="I359" s="69">
        <f>I360</f>
        <v>40715</v>
      </c>
      <c r="J359" s="208">
        <f t="shared" si="19"/>
        <v>32.572</v>
      </c>
    </row>
    <row r="360" spans="2:10" ht="12.75">
      <c r="B360" s="249">
        <f t="shared" si="20"/>
        <v>355</v>
      </c>
      <c r="C360" s="3"/>
      <c r="D360" s="3">
        <v>223</v>
      </c>
      <c r="E360" s="3"/>
      <c r="F360" s="3"/>
      <c r="G360" s="3" t="s">
        <v>249</v>
      </c>
      <c r="H360" s="70">
        <f>SUM(H361:H363)</f>
        <v>125000</v>
      </c>
      <c r="I360" s="70">
        <f>SUM(I361:I363)</f>
        <v>40715</v>
      </c>
      <c r="J360" s="208">
        <f t="shared" si="19"/>
        <v>32.572</v>
      </c>
    </row>
    <row r="361" spans="2:10" ht="12.75">
      <c r="B361" s="249">
        <f t="shared" si="20"/>
        <v>356</v>
      </c>
      <c r="C361" s="4"/>
      <c r="D361" s="4"/>
      <c r="E361" s="4">
        <v>223001</v>
      </c>
      <c r="F361" s="4"/>
      <c r="G361" s="4" t="s">
        <v>250</v>
      </c>
      <c r="H361" s="71">
        <v>53000</v>
      </c>
      <c r="I361" s="71">
        <v>14196</v>
      </c>
      <c r="J361" s="208">
        <f t="shared" si="19"/>
        <v>26.784905660377355</v>
      </c>
    </row>
    <row r="362" spans="2:10" ht="12.75">
      <c r="B362" s="249">
        <f t="shared" si="20"/>
        <v>357</v>
      </c>
      <c r="C362" s="4"/>
      <c r="D362" s="4"/>
      <c r="E362" s="4">
        <v>223002</v>
      </c>
      <c r="F362" s="4"/>
      <c r="G362" s="4" t="s">
        <v>66</v>
      </c>
      <c r="H362" s="71">
        <v>33000</v>
      </c>
      <c r="I362" s="71">
        <v>8040</v>
      </c>
      <c r="J362" s="208">
        <f t="shared" si="19"/>
        <v>24.363636363636363</v>
      </c>
    </row>
    <row r="363" spans="2:10" ht="13.5" thickBot="1">
      <c r="B363" s="249">
        <f t="shared" si="20"/>
        <v>358</v>
      </c>
      <c r="C363" s="4"/>
      <c r="D363" s="4"/>
      <c r="E363" s="4">
        <v>223003</v>
      </c>
      <c r="F363" s="4"/>
      <c r="G363" s="4" t="s">
        <v>67</v>
      </c>
      <c r="H363" s="71">
        <v>39000</v>
      </c>
      <c r="I363" s="71">
        <v>18479</v>
      </c>
      <c r="J363" s="208">
        <f t="shared" si="19"/>
        <v>47.38205128205128</v>
      </c>
    </row>
    <row r="364" spans="2:10" ht="15.75" thickBot="1">
      <c r="B364" s="249">
        <f>B363+1</f>
        <v>359</v>
      </c>
      <c r="C364" s="11">
        <v>13</v>
      </c>
      <c r="D364" s="11"/>
      <c r="E364" s="11"/>
      <c r="F364" s="11"/>
      <c r="G364" s="11" t="s">
        <v>16</v>
      </c>
      <c r="H364" s="68">
        <f>H365+H368</f>
        <v>59064</v>
      </c>
      <c r="I364" s="68">
        <f>I365+I368+I373</f>
        <v>23458</v>
      </c>
      <c r="J364" s="208">
        <f t="shared" si="19"/>
        <v>39.716240010835705</v>
      </c>
    </row>
    <row r="365" spans="2:10" ht="12.75">
      <c r="B365" s="249">
        <f t="shared" si="20"/>
        <v>360</v>
      </c>
      <c r="C365" s="6">
        <v>210</v>
      </c>
      <c r="D365" s="6"/>
      <c r="E365" s="6"/>
      <c r="F365" s="6"/>
      <c r="G365" s="6" t="s">
        <v>245</v>
      </c>
      <c r="H365" s="69">
        <f>H366</f>
        <v>6000</v>
      </c>
      <c r="I365" s="69">
        <f>I366</f>
        <v>349</v>
      </c>
      <c r="J365" s="208">
        <f t="shared" si="19"/>
        <v>5.816666666666666</v>
      </c>
    </row>
    <row r="366" spans="2:10" ht="12.75">
      <c r="B366" s="249">
        <f t="shared" si="20"/>
        <v>361</v>
      </c>
      <c r="C366" s="3"/>
      <c r="D366" s="3">
        <v>212</v>
      </c>
      <c r="E366" s="3"/>
      <c r="F366" s="3"/>
      <c r="G366" s="3" t="s">
        <v>246</v>
      </c>
      <c r="H366" s="70">
        <f>H367</f>
        <v>6000</v>
      </c>
      <c r="I366" s="70">
        <f>I367</f>
        <v>349</v>
      </c>
      <c r="J366" s="208">
        <f t="shared" si="19"/>
        <v>5.816666666666666</v>
      </c>
    </row>
    <row r="367" spans="2:10" ht="12.75">
      <c r="B367" s="249">
        <f t="shared" si="20"/>
        <v>362</v>
      </c>
      <c r="C367" s="4"/>
      <c r="D367" s="4"/>
      <c r="E367" s="4">
        <v>212003</v>
      </c>
      <c r="F367" s="4"/>
      <c r="G367" s="4" t="s">
        <v>247</v>
      </c>
      <c r="H367" s="71">
        <v>6000</v>
      </c>
      <c r="I367" s="71">
        <v>349</v>
      </c>
      <c r="J367" s="208">
        <f t="shared" si="19"/>
        <v>5.816666666666666</v>
      </c>
    </row>
    <row r="368" spans="2:10" ht="12.75">
      <c r="B368" s="249">
        <f t="shared" si="20"/>
        <v>363</v>
      </c>
      <c r="C368" s="6">
        <v>220</v>
      </c>
      <c r="D368" s="6"/>
      <c r="E368" s="6"/>
      <c r="F368" s="6"/>
      <c r="G368" s="6" t="s">
        <v>219</v>
      </c>
      <c r="H368" s="69">
        <f>H369</f>
        <v>53064</v>
      </c>
      <c r="I368" s="69">
        <f>I369</f>
        <v>18247</v>
      </c>
      <c r="J368" s="208">
        <f t="shared" si="19"/>
        <v>34.38677823006181</v>
      </c>
    </row>
    <row r="369" spans="2:10" ht="12.75">
      <c r="B369" s="249">
        <f t="shared" si="20"/>
        <v>364</v>
      </c>
      <c r="C369" s="3"/>
      <c r="D369" s="3">
        <v>223</v>
      </c>
      <c r="E369" s="3"/>
      <c r="F369" s="3"/>
      <c r="G369" s="3" t="s">
        <v>249</v>
      </c>
      <c r="H369" s="70">
        <f>SUM(H370:H372)</f>
        <v>53064</v>
      </c>
      <c r="I369" s="70">
        <f>SUM(I370:I372)</f>
        <v>18247</v>
      </c>
      <c r="J369" s="208">
        <f t="shared" si="19"/>
        <v>34.38677823006181</v>
      </c>
    </row>
    <row r="370" spans="2:10" ht="12.75">
      <c r="B370" s="249">
        <f t="shared" si="20"/>
        <v>365</v>
      </c>
      <c r="C370" s="4"/>
      <c r="D370" s="4"/>
      <c r="E370" s="4">
        <v>223001</v>
      </c>
      <c r="F370" s="4"/>
      <c r="G370" s="4" t="s">
        <v>250</v>
      </c>
      <c r="H370" s="71">
        <v>21556</v>
      </c>
      <c r="I370" s="71">
        <v>5440</v>
      </c>
      <c r="J370" s="208">
        <f t="shared" si="19"/>
        <v>25.236593059936908</v>
      </c>
    </row>
    <row r="371" spans="2:10" ht="12.75">
      <c r="B371" s="249">
        <f t="shared" si="20"/>
        <v>366</v>
      </c>
      <c r="C371" s="4"/>
      <c r="D371" s="4"/>
      <c r="E371" s="4">
        <v>223002</v>
      </c>
      <c r="F371" s="4"/>
      <c r="G371" s="4" t="s">
        <v>66</v>
      </c>
      <c r="H371" s="71">
        <v>10200</v>
      </c>
      <c r="I371" s="71">
        <v>3587</v>
      </c>
      <c r="J371" s="208">
        <f t="shared" si="19"/>
        <v>35.16666666666667</v>
      </c>
    </row>
    <row r="372" spans="2:10" ht="12.75">
      <c r="B372" s="249">
        <f t="shared" si="20"/>
        <v>367</v>
      </c>
      <c r="C372" s="4"/>
      <c r="D372" s="4"/>
      <c r="E372" s="4">
        <v>223003</v>
      </c>
      <c r="F372" s="4"/>
      <c r="G372" s="4" t="s">
        <v>67</v>
      </c>
      <c r="H372" s="71">
        <v>21308</v>
      </c>
      <c r="I372" s="71">
        <v>9220</v>
      </c>
      <c r="J372" s="208">
        <f t="shared" si="19"/>
        <v>43.270133283273886</v>
      </c>
    </row>
    <row r="373" spans="2:10" ht="12.75">
      <c r="B373" s="249">
        <f t="shared" si="20"/>
        <v>368</v>
      </c>
      <c r="C373" s="6">
        <v>290</v>
      </c>
      <c r="D373" s="6"/>
      <c r="E373" s="6"/>
      <c r="F373" s="6"/>
      <c r="G373" s="6" t="s">
        <v>173</v>
      </c>
      <c r="H373" s="69">
        <f>H374</f>
        <v>0</v>
      </c>
      <c r="I373" s="69">
        <f>I374</f>
        <v>4862</v>
      </c>
      <c r="J373" s="208">
        <v>0</v>
      </c>
    </row>
    <row r="374" spans="2:10" ht="12.75">
      <c r="B374" s="249">
        <f t="shared" si="20"/>
        <v>369</v>
      </c>
      <c r="C374" s="3"/>
      <c r="D374" s="3">
        <v>292</v>
      </c>
      <c r="E374" s="3"/>
      <c r="F374" s="3"/>
      <c r="G374" s="3" t="s">
        <v>174</v>
      </c>
      <c r="H374" s="70">
        <f>H375</f>
        <v>0</v>
      </c>
      <c r="I374" s="70">
        <f>I375</f>
        <v>4862</v>
      </c>
      <c r="J374" s="208">
        <v>0</v>
      </c>
    </row>
    <row r="375" spans="2:10" ht="13.5" thickBot="1">
      <c r="B375" s="249">
        <f t="shared" si="20"/>
        <v>370</v>
      </c>
      <c r="C375" s="4"/>
      <c r="D375" s="4"/>
      <c r="E375" s="4">
        <v>292012</v>
      </c>
      <c r="F375" s="4"/>
      <c r="G375" s="4" t="s">
        <v>230</v>
      </c>
      <c r="H375" s="71">
        <v>0</v>
      </c>
      <c r="I375" s="71">
        <v>4862</v>
      </c>
      <c r="J375" s="208">
        <v>0</v>
      </c>
    </row>
    <row r="376" spans="2:10" ht="15.75" thickBot="1">
      <c r="B376" s="249">
        <f t="shared" si="20"/>
        <v>371</v>
      </c>
      <c r="C376" s="11">
        <v>14</v>
      </c>
      <c r="D376" s="11"/>
      <c r="E376" s="11"/>
      <c r="F376" s="11"/>
      <c r="G376" s="11" t="s">
        <v>2</v>
      </c>
      <c r="H376" s="68">
        <f>H377+H380+H383+H386</f>
        <v>119492</v>
      </c>
      <c r="I376" s="68">
        <f>I377+I380+I383+I386</f>
        <v>64414</v>
      </c>
      <c r="J376" s="208">
        <f t="shared" si="19"/>
        <v>53.90653767616242</v>
      </c>
    </row>
    <row r="377" spans="2:10" ht="12.75">
      <c r="B377" s="249">
        <f t="shared" si="20"/>
        <v>372</v>
      </c>
      <c r="C377" s="6">
        <v>210</v>
      </c>
      <c r="D377" s="6"/>
      <c r="E377" s="6"/>
      <c r="F377" s="6"/>
      <c r="G377" s="6" t="s">
        <v>245</v>
      </c>
      <c r="H377" s="69">
        <f>H378</f>
        <v>260</v>
      </c>
      <c r="I377" s="69">
        <f>I378</f>
        <v>166</v>
      </c>
      <c r="J377" s="208">
        <f t="shared" si="19"/>
        <v>63.84615384615384</v>
      </c>
    </row>
    <row r="378" spans="2:10" ht="12.75">
      <c r="B378" s="249">
        <f t="shared" si="20"/>
        <v>373</v>
      </c>
      <c r="C378" s="3"/>
      <c r="D378" s="3">
        <v>212</v>
      </c>
      <c r="E378" s="3"/>
      <c r="F378" s="3"/>
      <c r="G378" s="3" t="s">
        <v>246</v>
      </c>
      <c r="H378" s="70">
        <f>H379</f>
        <v>260</v>
      </c>
      <c r="I378" s="70">
        <f>I379</f>
        <v>166</v>
      </c>
      <c r="J378" s="208">
        <f t="shared" si="19"/>
        <v>63.84615384615384</v>
      </c>
    </row>
    <row r="379" spans="2:10" ht="12.75">
      <c r="B379" s="249">
        <f t="shared" si="20"/>
        <v>374</v>
      </c>
      <c r="C379" s="4"/>
      <c r="D379" s="4"/>
      <c r="E379" s="4">
        <v>212003</v>
      </c>
      <c r="F379" s="4"/>
      <c r="G379" s="4" t="s">
        <v>247</v>
      </c>
      <c r="H379" s="71">
        <v>260</v>
      </c>
      <c r="I379" s="71">
        <v>166</v>
      </c>
      <c r="J379" s="208">
        <f t="shared" si="19"/>
        <v>63.84615384615384</v>
      </c>
    </row>
    <row r="380" spans="2:10" ht="12.75">
      <c r="B380" s="249">
        <f t="shared" si="20"/>
        <v>375</v>
      </c>
      <c r="C380" s="6">
        <v>220</v>
      </c>
      <c r="D380" s="6"/>
      <c r="E380" s="6"/>
      <c r="F380" s="6"/>
      <c r="G380" s="6" t="s">
        <v>219</v>
      </c>
      <c r="H380" s="69">
        <f>H381</f>
        <v>119230</v>
      </c>
      <c r="I380" s="69">
        <f>I381</f>
        <v>61247</v>
      </c>
      <c r="J380" s="208">
        <f t="shared" si="19"/>
        <v>51.3687830244066</v>
      </c>
    </row>
    <row r="381" spans="2:10" ht="12.75">
      <c r="B381" s="249">
        <f t="shared" si="20"/>
        <v>376</v>
      </c>
      <c r="C381" s="3"/>
      <c r="D381" s="3">
        <v>223</v>
      </c>
      <c r="E381" s="3"/>
      <c r="F381" s="3"/>
      <c r="G381" s="3" t="s">
        <v>249</v>
      </c>
      <c r="H381" s="70">
        <f>H382</f>
        <v>119230</v>
      </c>
      <c r="I381" s="70">
        <f>I382</f>
        <v>61247</v>
      </c>
      <c r="J381" s="208">
        <f t="shared" si="19"/>
        <v>51.3687830244066</v>
      </c>
    </row>
    <row r="382" spans="2:10" ht="12.75">
      <c r="B382" s="249">
        <f t="shared" si="20"/>
        <v>377</v>
      </c>
      <c r="C382" s="4"/>
      <c r="D382" s="4"/>
      <c r="E382" s="4">
        <v>223002</v>
      </c>
      <c r="F382" s="4"/>
      <c r="G382" s="4" t="s">
        <v>66</v>
      </c>
      <c r="H382" s="71">
        <v>119230</v>
      </c>
      <c r="I382" s="71">
        <v>61247</v>
      </c>
      <c r="J382" s="208">
        <f t="shared" si="19"/>
        <v>51.3687830244066</v>
      </c>
    </row>
    <row r="383" spans="2:10" ht="12.75">
      <c r="B383" s="249">
        <f t="shared" si="20"/>
        <v>378</v>
      </c>
      <c r="C383" s="6">
        <v>240</v>
      </c>
      <c r="D383" s="6"/>
      <c r="E383" s="6"/>
      <c r="F383" s="6"/>
      <c r="G383" s="6" t="s">
        <v>171</v>
      </c>
      <c r="H383" s="69">
        <f>H384</f>
        <v>2</v>
      </c>
      <c r="I383" s="69">
        <f>I384</f>
        <v>0</v>
      </c>
      <c r="J383" s="208">
        <f t="shared" si="19"/>
        <v>0</v>
      </c>
    </row>
    <row r="384" spans="2:10" ht="12.75">
      <c r="B384" s="249">
        <f t="shared" si="20"/>
        <v>379</v>
      </c>
      <c r="C384" s="3"/>
      <c r="D384" s="3">
        <v>242</v>
      </c>
      <c r="E384" s="3"/>
      <c r="F384" s="3"/>
      <c r="G384" s="3" t="s">
        <v>170</v>
      </c>
      <c r="H384" s="70">
        <f>H385</f>
        <v>2</v>
      </c>
      <c r="I384" s="70">
        <f>I385</f>
        <v>0</v>
      </c>
      <c r="J384" s="208">
        <f t="shared" si="19"/>
        <v>0</v>
      </c>
    </row>
    <row r="385" spans="2:10" ht="12.75">
      <c r="B385" s="249">
        <f t="shared" si="20"/>
        <v>380</v>
      </c>
      <c r="C385" s="4"/>
      <c r="D385" s="4"/>
      <c r="E385" s="4">
        <v>242</v>
      </c>
      <c r="F385" s="4"/>
      <c r="G385" s="4" t="s">
        <v>170</v>
      </c>
      <c r="H385" s="71">
        <v>2</v>
      </c>
      <c r="I385" s="71">
        <v>0</v>
      </c>
      <c r="J385" s="208">
        <f t="shared" si="19"/>
        <v>0</v>
      </c>
    </row>
    <row r="386" spans="2:10" ht="12.75">
      <c r="B386" s="249">
        <f t="shared" si="20"/>
        <v>381</v>
      </c>
      <c r="C386" s="6">
        <v>290</v>
      </c>
      <c r="D386" s="6"/>
      <c r="E386" s="6"/>
      <c r="F386" s="6"/>
      <c r="G386" s="6" t="s">
        <v>173</v>
      </c>
      <c r="H386" s="69">
        <f>H387</f>
        <v>0</v>
      </c>
      <c r="I386" s="69">
        <f>I387</f>
        <v>3001</v>
      </c>
      <c r="J386" s="208">
        <v>0</v>
      </c>
    </row>
    <row r="387" spans="2:10" ht="12.75">
      <c r="B387" s="249">
        <f t="shared" si="20"/>
        <v>382</v>
      </c>
      <c r="C387" s="3"/>
      <c r="D387" s="3">
        <v>292</v>
      </c>
      <c r="E387" s="3"/>
      <c r="F387" s="3"/>
      <c r="G387" s="3" t="s">
        <v>174</v>
      </c>
      <c r="H387" s="70">
        <f>H388</f>
        <v>0</v>
      </c>
      <c r="I387" s="70">
        <f>I388</f>
        <v>3001</v>
      </c>
      <c r="J387" s="208">
        <v>0</v>
      </c>
    </row>
    <row r="388" spans="2:10" ht="12.75">
      <c r="B388" s="249">
        <f t="shared" si="20"/>
        <v>383</v>
      </c>
      <c r="C388" s="4"/>
      <c r="D388" s="4"/>
      <c r="E388" s="4">
        <v>292012</v>
      </c>
      <c r="F388" s="4"/>
      <c r="G388" s="4" t="s">
        <v>230</v>
      </c>
      <c r="H388" s="71">
        <v>0</v>
      </c>
      <c r="I388" s="71">
        <v>3001</v>
      </c>
      <c r="J388" s="208">
        <v>0</v>
      </c>
    </row>
    <row r="389" spans="2:11" ht="16.5" thickBot="1">
      <c r="B389" s="249">
        <f t="shared" si="20"/>
        <v>384</v>
      </c>
      <c r="C389" s="10">
        <v>300</v>
      </c>
      <c r="D389" s="10"/>
      <c r="E389" s="10"/>
      <c r="F389" s="10"/>
      <c r="G389" s="10" t="s">
        <v>222</v>
      </c>
      <c r="H389" s="67">
        <f>H390+H430+H436+H441+H426+H456</f>
        <v>11947441</v>
      </c>
      <c r="I389" s="67">
        <f>I390+I430+I436+I441+I426+I456+I446+I450</f>
        <v>6670704</v>
      </c>
      <c r="J389" s="208">
        <f t="shared" si="19"/>
        <v>55.833747159747425</v>
      </c>
      <c r="K389" s="89"/>
    </row>
    <row r="390" spans="2:11" ht="15.75" thickBot="1">
      <c r="B390" s="249">
        <f t="shared" si="20"/>
        <v>385</v>
      </c>
      <c r="C390" s="11"/>
      <c r="D390" s="11"/>
      <c r="E390" s="11"/>
      <c r="F390" s="11"/>
      <c r="G390" s="11" t="s">
        <v>35</v>
      </c>
      <c r="H390" s="68">
        <f>H391+H422</f>
        <v>11580636</v>
      </c>
      <c r="I390" s="68">
        <f>I391+I422</f>
        <v>6619165</v>
      </c>
      <c r="J390" s="208">
        <f t="shared" si="19"/>
        <v>57.15718031375824</v>
      </c>
      <c r="K390" s="90"/>
    </row>
    <row r="391" spans="2:11" ht="12.75">
      <c r="B391" s="249">
        <f t="shared" si="20"/>
        <v>386</v>
      </c>
      <c r="C391" s="6">
        <v>310</v>
      </c>
      <c r="D391" s="6"/>
      <c r="E391" s="6"/>
      <c r="F391" s="6"/>
      <c r="G391" s="6" t="s">
        <v>223</v>
      </c>
      <c r="H391" s="69">
        <f>H395+H392</f>
        <v>11580636</v>
      </c>
      <c r="I391" s="69">
        <f>I395+I392</f>
        <v>6566665</v>
      </c>
      <c r="J391" s="208">
        <f t="shared" si="19"/>
        <v>56.703837336740406</v>
      </c>
      <c r="K391" s="91"/>
    </row>
    <row r="392" spans="2:11" ht="12.75">
      <c r="B392" s="249">
        <f t="shared" si="20"/>
        <v>387</v>
      </c>
      <c r="C392" s="3"/>
      <c r="D392" s="3">
        <v>311</v>
      </c>
      <c r="E392" s="3"/>
      <c r="F392" s="3"/>
      <c r="G392" s="3" t="s">
        <v>222</v>
      </c>
      <c r="H392" s="70">
        <f>H393+H394</f>
        <v>10018</v>
      </c>
      <c r="I392" s="70">
        <f>I393+I394</f>
        <v>11018</v>
      </c>
      <c r="J392" s="208">
        <f t="shared" si="19"/>
        <v>109.98203234178479</v>
      </c>
      <c r="K392" s="91"/>
    </row>
    <row r="393" spans="2:11" ht="12.75">
      <c r="B393" s="249">
        <f t="shared" si="20"/>
        <v>388</v>
      </c>
      <c r="C393" s="3"/>
      <c r="D393" s="3"/>
      <c r="E393" s="3"/>
      <c r="F393" s="3"/>
      <c r="G393" s="5" t="s">
        <v>538</v>
      </c>
      <c r="H393" s="75">
        <f>4618+1000</f>
        <v>5618</v>
      </c>
      <c r="I393" s="75">
        <v>6618</v>
      </c>
      <c r="J393" s="208">
        <f t="shared" si="19"/>
        <v>117.7999288002848</v>
      </c>
      <c r="K393" s="91"/>
    </row>
    <row r="394" spans="2:11" ht="12.75">
      <c r="B394" s="249">
        <f t="shared" si="20"/>
        <v>389</v>
      </c>
      <c r="C394" s="3"/>
      <c r="D394" s="3"/>
      <c r="E394" s="3"/>
      <c r="F394" s="3"/>
      <c r="G394" s="5" t="s">
        <v>540</v>
      </c>
      <c r="H394" s="75">
        <v>4400</v>
      </c>
      <c r="I394" s="75">
        <v>4400</v>
      </c>
      <c r="J394" s="208">
        <f t="shared" si="19"/>
        <v>100</v>
      </c>
      <c r="K394" s="91"/>
    </row>
    <row r="395" spans="2:11" ht="12.75">
      <c r="B395" s="249">
        <f t="shared" si="20"/>
        <v>390</v>
      </c>
      <c r="C395" s="3"/>
      <c r="D395" s="3">
        <v>312</v>
      </c>
      <c r="E395" s="3"/>
      <c r="F395" s="3"/>
      <c r="G395" s="3" t="s">
        <v>187</v>
      </c>
      <c r="H395" s="70">
        <f>H396+H410</f>
        <v>11570618</v>
      </c>
      <c r="I395" s="70">
        <f>I396+I410+I408</f>
        <v>6555647</v>
      </c>
      <c r="J395" s="208">
        <f t="shared" si="19"/>
        <v>56.657708343668425</v>
      </c>
      <c r="K395" s="86"/>
    </row>
    <row r="396" spans="2:10" ht="12.75">
      <c r="B396" s="249">
        <f t="shared" si="20"/>
        <v>391</v>
      </c>
      <c r="C396" s="4"/>
      <c r="D396" s="4"/>
      <c r="E396" s="4">
        <v>312001</v>
      </c>
      <c r="F396" s="4"/>
      <c r="G396" s="4" t="s">
        <v>232</v>
      </c>
      <c r="H396" s="71">
        <f>SUM(H397:H405)</f>
        <v>1882392</v>
      </c>
      <c r="I396" s="71">
        <f>SUM(I397:I407)</f>
        <v>1348275</v>
      </c>
      <c r="J396" s="208">
        <f t="shared" si="19"/>
        <v>71.62562314331977</v>
      </c>
    </row>
    <row r="397" spans="2:10" ht="12.75">
      <c r="B397" s="249">
        <f t="shared" si="20"/>
        <v>392</v>
      </c>
      <c r="C397" s="5"/>
      <c r="D397" s="5"/>
      <c r="E397" s="5"/>
      <c r="F397" s="5"/>
      <c r="G397" s="5" t="s">
        <v>327</v>
      </c>
      <c r="H397" s="75">
        <v>1031112</v>
      </c>
      <c r="I397" s="75">
        <v>514659</v>
      </c>
      <c r="J397" s="208">
        <f t="shared" si="19"/>
        <v>49.9130065405116</v>
      </c>
    </row>
    <row r="398" spans="2:10" ht="12.75">
      <c r="B398" s="249">
        <f t="shared" si="20"/>
        <v>393</v>
      </c>
      <c r="C398" s="5"/>
      <c r="D398" s="5"/>
      <c r="E398" s="5"/>
      <c r="F398" s="5"/>
      <c r="G398" s="5" t="s">
        <v>418</v>
      </c>
      <c r="H398" s="75">
        <v>11000</v>
      </c>
      <c r="I398" s="75">
        <v>10299</v>
      </c>
      <c r="J398" s="208">
        <f t="shared" si="19"/>
        <v>93.62727272727273</v>
      </c>
    </row>
    <row r="399" spans="2:10" ht="12.75">
      <c r="B399" s="249">
        <f t="shared" si="20"/>
        <v>394</v>
      </c>
      <c r="C399" s="5"/>
      <c r="D399" s="5"/>
      <c r="E399" s="5"/>
      <c r="F399" s="5"/>
      <c r="G399" s="5" t="s">
        <v>326</v>
      </c>
      <c r="H399" s="83">
        <v>16000</v>
      </c>
      <c r="I399" s="83">
        <v>2762</v>
      </c>
      <c r="J399" s="208">
        <f t="shared" si="19"/>
        <v>17.2625</v>
      </c>
    </row>
    <row r="400" spans="2:10" ht="12.75">
      <c r="B400" s="249">
        <f t="shared" si="20"/>
        <v>395</v>
      </c>
      <c r="C400" s="5"/>
      <c r="D400" s="5"/>
      <c r="E400" s="5"/>
      <c r="F400" s="5"/>
      <c r="G400" s="5" t="s">
        <v>330</v>
      </c>
      <c r="H400" s="83">
        <v>11300</v>
      </c>
      <c r="I400" s="83"/>
      <c r="J400" s="208">
        <f t="shared" si="19"/>
        <v>0</v>
      </c>
    </row>
    <row r="401" spans="2:10" ht="12.75">
      <c r="B401" s="249">
        <f t="shared" si="20"/>
        <v>396</v>
      </c>
      <c r="C401" s="5"/>
      <c r="D401" s="5"/>
      <c r="E401" s="5"/>
      <c r="F401" s="5"/>
      <c r="G401" s="5" t="s">
        <v>328</v>
      </c>
      <c r="H401" s="83">
        <v>38000</v>
      </c>
      <c r="I401" s="83">
        <f>8880+1044</f>
        <v>9924</v>
      </c>
      <c r="J401" s="208">
        <f t="shared" si="19"/>
        <v>26.11578947368421</v>
      </c>
    </row>
    <row r="402" spans="2:10" ht="22.5">
      <c r="B402" s="249">
        <f t="shared" si="20"/>
        <v>397</v>
      </c>
      <c r="C402" s="5"/>
      <c r="D402" s="5"/>
      <c r="E402" s="5"/>
      <c r="F402" s="5"/>
      <c r="G402" s="50" t="s">
        <v>304</v>
      </c>
      <c r="H402" s="83">
        <v>4724</v>
      </c>
      <c r="I402" s="83">
        <v>0</v>
      </c>
      <c r="J402" s="208">
        <f t="shared" si="19"/>
        <v>0</v>
      </c>
    </row>
    <row r="403" spans="2:10" ht="22.5">
      <c r="B403" s="249">
        <f t="shared" si="20"/>
        <v>398</v>
      </c>
      <c r="C403" s="5"/>
      <c r="D403" s="5"/>
      <c r="E403" s="5"/>
      <c r="F403" s="5"/>
      <c r="G403" s="50" t="s">
        <v>305</v>
      </c>
      <c r="H403" s="83">
        <v>7692</v>
      </c>
      <c r="I403" s="83">
        <v>0</v>
      </c>
      <c r="J403" s="208">
        <f t="shared" si="19"/>
        <v>0</v>
      </c>
    </row>
    <row r="404" spans="2:10" ht="22.5">
      <c r="B404" s="249">
        <f t="shared" si="20"/>
        <v>399</v>
      </c>
      <c r="C404" s="5"/>
      <c r="D404" s="5"/>
      <c r="E404" s="5"/>
      <c r="F404" s="5"/>
      <c r="G404" s="50" t="s">
        <v>425</v>
      </c>
      <c r="H404" s="83">
        <v>10000</v>
      </c>
      <c r="I404" s="83">
        <v>0</v>
      </c>
      <c r="J404" s="208">
        <f t="shared" si="19"/>
        <v>0</v>
      </c>
    </row>
    <row r="405" spans="2:10" ht="12.75">
      <c r="B405" s="249">
        <f t="shared" si="20"/>
        <v>400</v>
      </c>
      <c r="C405" s="5"/>
      <c r="D405" s="5"/>
      <c r="E405" s="5"/>
      <c r="F405" s="5"/>
      <c r="G405" s="5" t="s">
        <v>410</v>
      </c>
      <c r="H405" s="83">
        <v>752564</v>
      </c>
      <c r="I405" s="83">
        <v>683381</v>
      </c>
      <c r="J405" s="208">
        <f t="shared" si="19"/>
        <v>90.80702770794244</v>
      </c>
    </row>
    <row r="406" spans="2:10" ht="12.75">
      <c r="B406" s="249">
        <f t="shared" si="20"/>
        <v>401</v>
      </c>
      <c r="C406" s="5"/>
      <c r="D406" s="5"/>
      <c r="E406" s="5"/>
      <c r="F406" s="5"/>
      <c r="G406" s="5" t="s">
        <v>574</v>
      </c>
      <c r="H406" s="83">
        <v>0</v>
      </c>
      <c r="I406" s="83">
        <v>50</v>
      </c>
      <c r="J406" s="208">
        <v>0</v>
      </c>
    </row>
    <row r="407" spans="2:10" ht="12.75">
      <c r="B407" s="249">
        <f t="shared" si="20"/>
        <v>402</v>
      </c>
      <c r="C407" s="5"/>
      <c r="D407" s="5"/>
      <c r="E407" s="5"/>
      <c r="F407" s="5"/>
      <c r="G407" s="5" t="s">
        <v>575</v>
      </c>
      <c r="H407" s="83">
        <v>0</v>
      </c>
      <c r="I407" s="83">
        <f>69300+57900</f>
        <v>127200</v>
      </c>
      <c r="J407" s="208">
        <v>0</v>
      </c>
    </row>
    <row r="408" spans="2:10" ht="12.75">
      <c r="B408" s="249">
        <f t="shared" si="20"/>
        <v>403</v>
      </c>
      <c r="C408" s="5"/>
      <c r="D408" s="5"/>
      <c r="E408" s="4">
        <v>312002</v>
      </c>
      <c r="F408" s="4"/>
      <c r="G408" s="4" t="s">
        <v>577</v>
      </c>
      <c r="H408" s="71">
        <f>H409</f>
        <v>0</v>
      </c>
      <c r="I408" s="71">
        <f>I409</f>
        <v>89824</v>
      </c>
      <c r="J408" s="208">
        <v>0</v>
      </c>
    </row>
    <row r="409" spans="2:10" ht="12.75">
      <c r="B409" s="249">
        <f t="shared" si="20"/>
        <v>404</v>
      </c>
      <c r="C409" s="5"/>
      <c r="D409" s="5"/>
      <c r="E409" s="5"/>
      <c r="F409" s="5"/>
      <c r="G409" s="5" t="s">
        <v>576</v>
      </c>
      <c r="H409" s="83">
        <v>0</v>
      </c>
      <c r="I409" s="83">
        <v>89824</v>
      </c>
      <c r="J409" s="208">
        <v>0</v>
      </c>
    </row>
    <row r="410" spans="2:10" ht="12.75">
      <c r="B410" s="249">
        <f t="shared" si="20"/>
        <v>405</v>
      </c>
      <c r="C410" s="4"/>
      <c r="D410" s="4"/>
      <c r="E410" s="4">
        <v>312012</v>
      </c>
      <c r="F410" s="4"/>
      <c r="G410" s="4" t="s">
        <v>233</v>
      </c>
      <c r="H410" s="128">
        <f>SUM(H411:H418)</f>
        <v>9688226</v>
      </c>
      <c r="I410" s="128">
        <f>SUM(I411:I421)</f>
        <v>5117548</v>
      </c>
      <c r="J410" s="208">
        <f t="shared" si="19"/>
        <v>52.82234332683816</v>
      </c>
    </row>
    <row r="411" spans="2:10" ht="12.75">
      <c r="B411" s="249">
        <f t="shared" si="20"/>
        <v>406</v>
      </c>
      <c r="C411" s="5"/>
      <c r="D411" s="5"/>
      <c r="E411" s="5"/>
      <c r="F411" s="5"/>
      <c r="G411" s="5" t="s">
        <v>329</v>
      </c>
      <c r="H411" s="83">
        <f>8976572+306422</f>
        <v>9282994</v>
      </c>
      <c r="I411" s="83">
        <f>4470261+59731+93147+13098+1950</f>
        <v>4638187</v>
      </c>
      <c r="J411" s="208">
        <f t="shared" si="19"/>
        <v>49.964343400415856</v>
      </c>
    </row>
    <row r="412" spans="2:10" ht="12.75">
      <c r="B412" s="249">
        <f t="shared" si="20"/>
        <v>407</v>
      </c>
      <c r="C412" s="5"/>
      <c r="D412" s="5"/>
      <c r="E412" s="5"/>
      <c r="F412" s="5"/>
      <c r="G412" s="5" t="s">
        <v>423</v>
      </c>
      <c r="H412" s="83">
        <f>88239-1528</f>
        <v>86711</v>
      </c>
      <c r="I412" s="83">
        <v>57806</v>
      </c>
      <c r="J412" s="208">
        <f t="shared" si="19"/>
        <v>66.66512899170809</v>
      </c>
    </row>
    <row r="413" spans="2:10" ht="12.75">
      <c r="B413" s="249">
        <f t="shared" si="20"/>
        <v>408</v>
      </c>
      <c r="C413" s="5"/>
      <c r="D413" s="5"/>
      <c r="E413" s="5"/>
      <c r="F413" s="5"/>
      <c r="G413" s="5" t="s">
        <v>422</v>
      </c>
      <c r="H413" s="75">
        <v>119000</v>
      </c>
      <c r="I413" s="75">
        <v>119723</v>
      </c>
      <c r="J413" s="208">
        <f t="shared" si="19"/>
        <v>100.60756302521008</v>
      </c>
    </row>
    <row r="414" spans="2:10" ht="12.75">
      <c r="B414" s="249">
        <f t="shared" si="20"/>
        <v>409</v>
      </c>
      <c r="C414" s="5"/>
      <c r="D414" s="5"/>
      <c r="E414" s="5"/>
      <c r="F414" s="5"/>
      <c r="G414" s="5" t="s">
        <v>421</v>
      </c>
      <c r="H414" s="75">
        <v>61600</v>
      </c>
      <c r="I414" s="75">
        <v>83171</v>
      </c>
      <c r="J414" s="208">
        <f t="shared" si="19"/>
        <v>135.01785714285714</v>
      </c>
    </row>
    <row r="415" spans="2:10" ht="12.75">
      <c r="B415" s="249">
        <f t="shared" si="20"/>
        <v>410</v>
      </c>
      <c r="C415" s="5"/>
      <c r="D415" s="5"/>
      <c r="E415" s="5"/>
      <c r="F415" s="5"/>
      <c r="G415" s="5" t="s">
        <v>420</v>
      </c>
      <c r="H415" s="75">
        <f>48312+4740</f>
        <v>53052</v>
      </c>
      <c r="I415" s="75">
        <v>26526</v>
      </c>
      <c r="J415" s="208">
        <f t="shared" si="19"/>
        <v>50</v>
      </c>
    </row>
    <row r="416" spans="2:10" ht="12.75">
      <c r="B416" s="249">
        <f t="shared" si="20"/>
        <v>411</v>
      </c>
      <c r="C416" s="5"/>
      <c r="D416" s="5"/>
      <c r="E416" s="5"/>
      <c r="F416" s="5"/>
      <c r="G416" s="5" t="s">
        <v>419</v>
      </c>
      <c r="H416" s="75">
        <v>18300</v>
      </c>
      <c r="I416" s="199">
        <v>18260</v>
      </c>
      <c r="J416" s="208">
        <f t="shared" si="19"/>
        <v>99.78142076502732</v>
      </c>
    </row>
    <row r="417" spans="2:10" ht="12.75">
      <c r="B417" s="249">
        <f t="shared" si="20"/>
        <v>412</v>
      </c>
      <c r="C417" s="5"/>
      <c r="D417" s="5"/>
      <c r="E417" s="5"/>
      <c r="F417" s="5"/>
      <c r="G417" s="5" t="s">
        <v>424</v>
      </c>
      <c r="H417" s="75">
        <v>24400</v>
      </c>
      <c r="I417" s="199">
        <v>24476</v>
      </c>
      <c r="J417" s="208">
        <f t="shared" si="19"/>
        <v>100.31147540983608</v>
      </c>
    </row>
    <row r="418" spans="2:10" ht="12.75">
      <c r="B418" s="249">
        <f t="shared" si="20"/>
        <v>413</v>
      </c>
      <c r="C418" s="138"/>
      <c r="D418" s="138"/>
      <c r="E418" s="138"/>
      <c r="F418" s="138"/>
      <c r="G418" s="138" t="s">
        <v>533</v>
      </c>
      <c r="H418" s="139">
        <v>42169</v>
      </c>
      <c r="I418" s="200">
        <v>44190</v>
      </c>
      <c r="J418" s="197">
        <f t="shared" si="19"/>
        <v>104.79262017121582</v>
      </c>
    </row>
    <row r="419" spans="2:10" ht="12.75">
      <c r="B419" s="249">
        <f t="shared" si="20"/>
        <v>414</v>
      </c>
      <c r="C419" s="5"/>
      <c r="D419" s="5"/>
      <c r="E419" s="5"/>
      <c r="F419" s="5"/>
      <c r="G419" s="5" t="s">
        <v>578</v>
      </c>
      <c r="H419" s="75">
        <v>0</v>
      </c>
      <c r="I419" s="199">
        <v>5257</v>
      </c>
      <c r="J419" s="198">
        <v>0</v>
      </c>
    </row>
    <row r="420" spans="2:10" ht="12.75">
      <c r="B420" s="249">
        <f t="shared" si="20"/>
        <v>415</v>
      </c>
      <c r="C420" s="5"/>
      <c r="D420" s="5"/>
      <c r="E420" s="5"/>
      <c r="F420" s="5"/>
      <c r="G420" s="5" t="s">
        <v>580</v>
      </c>
      <c r="H420" s="75">
        <v>0</v>
      </c>
      <c r="I420" s="199">
        <v>604</v>
      </c>
      <c r="J420" s="198">
        <v>0</v>
      </c>
    </row>
    <row r="421" spans="2:10" ht="12.75">
      <c r="B421" s="249">
        <f t="shared" si="20"/>
        <v>416</v>
      </c>
      <c r="C421" s="5"/>
      <c r="D421" s="5"/>
      <c r="E421" s="5"/>
      <c r="F421" s="5"/>
      <c r="G421" s="5" t="s">
        <v>579</v>
      </c>
      <c r="H421" s="75">
        <v>0</v>
      </c>
      <c r="I421" s="199">
        <v>99348</v>
      </c>
      <c r="J421" s="198">
        <v>0</v>
      </c>
    </row>
    <row r="422" spans="2:10" ht="12.75">
      <c r="B422" s="249">
        <f t="shared" si="20"/>
        <v>417</v>
      </c>
      <c r="C422" s="6">
        <v>330</v>
      </c>
      <c r="D422" s="6"/>
      <c r="E422" s="6"/>
      <c r="F422" s="6"/>
      <c r="G422" s="6" t="s">
        <v>581</v>
      </c>
      <c r="H422" s="69">
        <f aca="true" t="shared" si="21" ref="H422:I424">H423</f>
        <v>0</v>
      </c>
      <c r="I422" s="69">
        <f t="shared" si="21"/>
        <v>52500</v>
      </c>
      <c r="J422" s="208">
        <v>0</v>
      </c>
    </row>
    <row r="423" spans="2:10" ht="12.75">
      <c r="B423" s="249">
        <f t="shared" si="20"/>
        <v>418</v>
      </c>
      <c r="C423" s="3"/>
      <c r="D423" s="3">
        <v>331</v>
      </c>
      <c r="E423" s="3"/>
      <c r="F423" s="3"/>
      <c r="G423" s="3" t="s">
        <v>582</v>
      </c>
      <c r="H423" s="70">
        <f t="shared" si="21"/>
        <v>0</v>
      </c>
      <c r="I423" s="70">
        <f t="shared" si="21"/>
        <v>52500</v>
      </c>
      <c r="J423" s="208">
        <v>0</v>
      </c>
    </row>
    <row r="424" spans="2:10" ht="12.75">
      <c r="B424" s="249">
        <f t="shared" si="20"/>
        <v>419</v>
      </c>
      <c r="C424" s="3"/>
      <c r="D424" s="3"/>
      <c r="E424" s="4">
        <v>331001</v>
      </c>
      <c r="F424" s="3"/>
      <c r="G424" s="4" t="s">
        <v>583</v>
      </c>
      <c r="H424" s="75">
        <f t="shared" si="21"/>
        <v>0</v>
      </c>
      <c r="I424" s="75">
        <f t="shared" si="21"/>
        <v>52500</v>
      </c>
      <c r="J424" s="208">
        <v>0</v>
      </c>
    </row>
    <row r="425" spans="2:10" ht="13.5" thickBot="1">
      <c r="B425" s="249">
        <f t="shared" si="20"/>
        <v>420</v>
      </c>
      <c r="C425" s="201"/>
      <c r="D425" s="202"/>
      <c r="E425" s="203"/>
      <c r="F425" s="202"/>
      <c r="G425" s="203" t="s">
        <v>584</v>
      </c>
      <c r="H425" s="204">
        <v>0</v>
      </c>
      <c r="I425" s="114">
        <v>52500</v>
      </c>
      <c r="J425" s="208">
        <v>0</v>
      </c>
    </row>
    <row r="426" spans="2:10" ht="15.75" thickBot="1">
      <c r="B426" s="249">
        <f t="shared" si="20"/>
        <v>421</v>
      </c>
      <c r="C426" s="142">
        <v>1</v>
      </c>
      <c r="D426" s="142"/>
      <c r="E426" s="142"/>
      <c r="F426" s="142"/>
      <c r="G426" s="142" t="s">
        <v>45</v>
      </c>
      <c r="H426" s="143">
        <f aca="true" t="shared" si="22" ref="H426:I428">H427</f>
        <v>4900</v>
      </c>
      <c r="I426" s="143">
        <f t="shared" si="22"/>
        <v>3300</v>
      </c>
      <c r="J426" s="208">
        <f t="shared" si="19"/>
        <v>67.3469387755102</v>
      </c>
    </row>
    <row r="427" spans="2:10" ht="12.75">
      <c r="B427" s="249">
        <f t="shared" si="20"/>
        <v>422</v>
      </c>
      <c r="C427" s="15">
        <v>310</v>
      </c>
      <c r="D427" s="15"/>
      <c r="E427" s="15"/>
      <c r="F427" s="15"/>
      <c r="G427" s="15" t="s">
        <v>223</v>
      </c>
      <c r="H427" s="73">
        <f t="shared" si="22"/>
        <v>4900</v>
      </c>
      <c r="I427" s="73">
        <f t="shared" si="22"/>
        <v>3300</v>
      </c>
      <c r="J427" s="208">
        <f t="shared" si="19"/>
        <v>67.3469387755102</v>
      </c>
    </row>
    <row r="428" spans="2:10" ht="12.75">
      <c r="B428" s="249">
        <f t="shared" si="20"/>
        <v>423</v>
      </c>
      <c r="C428" s="5"/>
      <c r="D428" s="3">
        <v>312</v>
      </c>
      <c r="E428" s="3"/>
      <c r="F428" s="3"/>
      <c r="G428" s="3" t="s">
        <v>187</v>
      </c>
      <c r="H428" s="70">
        <f t="shared" si="22"/>
        <v>4900</v>
      </c>
      <c r="I428" s="70">
        <f t="shared" si="22"/>
        <v>3300</v>
      </c>
      <c r="J428" s="208">
        <f t="shared" si="19"/>
        <v>67.3469387755102</v>
      </c>
    </row>
    <row r="429" spans="2:10" ht="13.5" thickBot="1">
      <c r="B429" s="249">
        <f t="shared" si="20"/>
        <v>424</v>
      </c>
      <c r="C429" s="254"/>
      <c r="D429" s="5"/>
      <c r="E429" s="5">
        <v>312001</v>
      </c>
      <c r="F429" s="5"/>
      <c r="G429" s="5" t="s">
        <v>530</v>
      </c>
      <c r="H429" s="75">
        <v>4900</v>
      </c>
      <c r="I429" s="75">
        <v>3300</v>
      </c>
      <c r="J429" s="208">
        <f t="shared" si="19"/>
        <v>67.3469387755102</v>
      </c>
    </row>
    <row r="430" spans="2:10" ht="15.75" thickBot="1">
      <c r="B430" s="249">
        <f t="shared" si="20"/>
        <v>425</v>
      </c>
      <c r="C430" s="11">
        <v>5</v>
      </c>
      <c r="D430" s="11"/>
      <c r="E430" s="11"/>
      <c r="F430" s="11"/>
      <c r="G430" s="11" t="s">
        <v>107</v>
      </c>
      <c r="H430" s="68">
        <f>H431</f>
        <v>287750</v>
      </c>
      <c r="I430" s="68">
        <f>I431</f>
        <v>8468</v>
      </c>
      <c r="J430" s="208">
        <f aca="true" t="shared" si="23" ref="J430:J459">I430/H430*100</f>
        <v>2.942832319721981</v>
      </c>
    </row>
    <row r="431" spans="2:10" ht="12.75">
      <c r="B431" s="249">
        <f t="shared" si="20"/>
        <v>426</v>
      </c>
      <c r="C431" s="3">
        <v>310</v>
      </c>
      <c r="D431" s="3"/>
      <c r="E431" s="3"/>
      <c r="F431" s="3"/>
      <c r="G431" s="3" t="s">
        <v>223</v>
      </c>
      <c r="H431" s="70">
        <f>H434+H432</f>
        <v>287750</v>
      </c>
      <c r="I431" s="70">
        <f>I434+I432</f>
        <v>8468</v>
      </c>
      <c r="J431" s="208">
        <f t="shared" si="23"/>
        <v>2.942832319721981</v>
      </c>
    </row>
    <row r="432" spans="2:10" ht="12.75">
      <c r="B432" s="249">
        <f t="shared" si="20"/>
        <v>427</v>
      </c>
      <c r="C432" s="138"/>
      <c r="D432" s="3">
        <v>311</v>
      </c>
      <c r="E432" s="3"/>
      <c r="F432" s="3"/>
      <c r="G432" s="3" t="s">
        <v>222</v>
      </c>
      <c r="H432" s="70">
        <f>H433</f>
        <v>2750</v>
      </c>
      <c r="I432" s="70">
        <f>I433</f>
        <v>8468</v>
      </c>
      <c r="J432" s="208">
        <f t="shared" si="23"/>
        <v>307.92727272727274</v>
      </c>
    </row>
    <row r="433" spans="2:10" ht="12.75">
      <c r="B433" s="249">
        <f t="shared" si="20"/>
        <v>428</v>
      </c>
      <c r="C433" s="138"/>
      <c r="D433" s="5"/>
      <c r="E433" s="5">
        <v>311</v>
      </c>
      <c r="F433" s="5"/>
      <c r="G433" s="5" t="s">
        <v>222</v>
      </c>
      <c r="H433" s="75">
        <f>750+2000</f>
        <v>2750</v>
      </c>
      <c r="I433" s="75">
        <v>8468</v>
      </c>
      <c r="J433" s="208">
        <f t="shared" si="23"/>
        <v>307.92727272727274</v>
      </c>
    </row>
    <row r="434" spans="2:10" ht="12.75">
      <c r="B434" s="249">
        <f t="shared" si="20"/>
        <v>429</v>
      </c>
      <c r="C434" s="4"/>
      <c r="D434" s="4">
        <v>312</v>
      </c>
      <c r="E434" s="4"/>
      <c r="F434" s="4"/>
      <c r="G434" s="4" t="s">
        <v>187</v>
      </c>
      <c r="H434" s="71">
        <f>H435</f>
        <v>285000</v>
      </c>
      <c r="I434" s="71">
        <f>I435</f>
        <v>0</v>
      </c>
      <c r="J434" s="208">
        <f t="shared" si="23"/>
        <v>0</v>
      </c>
    </row>
    <row r="435" spans="2:10" ht="13.5" thickBot="1">
      <c r="B435" s="249">
        <f t="shared" si="20"/>
        <v>430</v>
      </c>
      <c r="C435" s="5"/>
      <c r="D435" s="5"/>
      <c r="E435" s="5">
        <v>312001</v>
      </c>
      <c r="F435" s="5"/>
      <c r="G435" s="5" t="s">
        <v>232</v>
      </c>
      <c r="H435" s="75">
        <v>285000</v>
      </c>
      <c r="I435" s="75">
        <v>0</v>
      </c>
      <c r="J435" s="208">
        <f t="shared" si="23"/>
        <v>0</v>
      </c>
    </row>
    <row r="436" spans="2:10" ht="15.75" thickBot="1">
      <c r="B436" s="249">
        <f t="shared" si="20"/>
        <v>431</v>
      </c>
      <c r="C436" s="11">
        <v>9</v>
      </c>
      <c r="D436" s="11"/>
      <c r="E436" s="11"/>
      <c r="F436" s="11"/>
      <c r="G436" s="11" t="s">
        <v>6</v>
      </c>
      <c r="H436" s="68">
        <f aca="true" t="shared" si="24" ref="H436:I439">H437</f>
        <v>26277</v>
      </c>
      <c r="I436" s="68">
        <f t="shared" si="24"/>
        <v>13960</v>
      </c>
      <c r="J436" s="208">
        <f t="shared" si="23"/>
        <v>53.126308178254746</v>
      </c>
    </row>
    <row r="437" spans="2:10" ht="12.75">
      <c r="B437" s="249">
        <f t="shared" si="20"/>
        <v>432</v>
      </c>
      <c r="C437" s="6">
        <v>310</v>
      </c>
      <c r="D437" s="6"/>
      <c r="E437" s="6"/>
      <c r="F437" s="6"/>
      <c r="G437" s="6" t="s">
        <v>223</v>
      </c>
      <c r="H437" s="69">
        <f t="shared" si="24"/>
        <v>26277</v>
      </c>
      <c r="I437" s="69">
        <f t="shared" si="24"/>
        <v>13960</v>
      </c>
      <c r="J437" s="208">
        <f t="shared" si="23"/>
        <v>53.126308178254746</v>
      </c>
    </row>
    <row r="438" spans="2:10" ht="12.75">
      <c r="B438" s="249">
        <f t="shared" si="20"/>
        <v>433</v>
      </c>
      <c r="C438" s="3"/>
      <c r="D438" s="3">
        <v>312</v>
      </c>
      <c r="E438" s="3"/>
      <c r="F438" s="3"/>
      <c r="G438" s="3" t="s">
        <v>187</v>
      </c>
      <c r="H438" s="70">
        <f t="shared" si="24"/>
        <v>26277</v>
      </c>
      <c r="I438" s="70">
        <f t="shared" si="24"/>
        <v>13960</v>
      </c>
      <c r="J438" s="208">
        <f t="shared" si="23"/>
        <v>53.126308178254746</v>
      </c>
    </row>
    <row r="439" spans="2:10" ht="12.75">
      <c r="B439" s="249">
        <f t="shared" si="20"/>
        <v>434</v>
      </c>
      <c r="C439" s="4"/>
      <c r="D439" s="4"/>
      <c r="E439" s="4">
        <v>312001</v>
      </c>
      <c r="F439" s="4"/>
      <c r="G439" s="4" t="s">
        <v>232</v>
      </c>
      <c r="H439" s="71">
        <f t="shared" si="24"/>
        <v>26277</v>
      </c>
      <c r="I439" s="71">
        <f t="shared" si="24"/>
        <v>13960</v>
      </c>
      <c r="J439" s="208">
        <f t="shared" si="23"/>
        <v>53.126308178254746</v>
      </c>
    </row>
    <row r="440" spans="2:10" ht="13.5" thickBot="1">
      <c r="B440" s="249">
        <f t="shared" si="20"/>
        <v>435</v>
      </c>
      <c r="C440" s="5"/>
      <c r="D440" s="5"/>
      <c r="E440" s="5"/>
      <c r="F440" s="5" t="s">
        <v>70</v>
      </c>
      <c r="G440" s="5" t="s">
        <v>294</v>
      </c>
      <c r="H440" s="75">
        <v>26277</v>
      </c>
      <c r="I440" s="75">
        <v>13960</v>
      </c>
      <c r="J440" s="208">
        <f t="shared" si="23"/>
        <v>53.126308178254746</v>
      </c>
    </row>
    <row r="441" spans="2:10" ht="15.75" thickBot="1">
      <c r="B441" s="249">
        <f t="shared" si="20"/>
        <v>436</v>
      </c>
      <c r="C441" s="11">
        <v>10</v>
      </c>
      <c r="D441" s="11"/>
      <c r="E441" s="11"/>
      <c r="F441" s="11"/>
      <c r="G441" s="11" t="s">
        <v>1</v>
      </c>
      <c r="H441" s="68">
        <f aca="true" t="shared" si="25" ref="H441:I444">H442</f>
        <v>47548</v>
      </c>
      <c r="I441" s="68">
        <f t="shared" si="25"/>
        <v>21147</v>
      </c>
      <c r="J441" s="208">
        <f t="shared" si="23"/>
        <v>44.4750567847228</v>
      </c>
    </row>
    <row r="442" spans="2:10" ht="12.75">
      <c r="B442" s="249">
        <f t="shared" si="20"/>
        <v>437</v>
      </c>
      <c r="C442" s="6">
        <v>310</v>
      </c>
      <c r="D442" s="6"/>
      <c r="E442" s="6"/>
      <c r="F442" s="6"/>
      <c r="G442" s="6" t="s">
        <v>223</v>
      </c>
      <c r="H442" s="69">
        <f t="shared" si="25"/>
        <v>47548</v>
      </c>
      <c r="I442" s="69">
        <f t="shared" si="25"/>
        <v>21147</v>
      </c>
      <c r="J442" s="208">
        <f t="shared" si="23"/>
        <v>44.4750567847228</v>
      </c>
    </row>
    <row r="443" spans="2:10" ht="12.75">
      <c r="B443" s="249">
        <f t="shared" si="20"/>
        <v>438</v>
      </c>
      <c r="C443" s="3"/>
      <c r="D443" s="3">
        <v>312</v>
      </c>
      <c r="E443" s="3"/>
      <c r="F443" s="3"/>
      <c r="G443" s="3" t="s">
        <v>187</v>
      </c>
      <c r="H443" s="70">
        <f t="shared" si="25"/>
        <v>47548</v>
      </c>
      <c r="I443" s="70">
        <f t="shared" si="25"/>
        <v>21147</v>
      </c>
      <c r="J443" s="208">
        <f t="shared" si="23"/>
        <v>44.4750567847228</v>
      </c>
    </row>
    <row r="444" spans="2:10" ht="12.75">
      <c r="B444" s="249">
        <f aca="true" t="shared" si="26" ref="B444:B458">B443+1</f>
        <v>439</v>
      </c>
      <c r="C444" s="4"/>
      <c r="D444" s="4"/>
      <c r="E444" s="4">
        <v>312001</v>
      </c>
      <c r="F444" s="4"/>
      <c r="G444" s="4" t="s">
        <v>232</v>
      </c>
      <c r="H444" s="71">
        <f t="shared" si="25"/>
        <v>47548</v>
      </c>
      <c r="I444" s="71">
        <f t="shared" si="25"/>
        <v>21147</v>
      </c>
      <c r="J444" s="208">
        <f t="shared" si="23"/>
        <v>44.4750567847228</v>
      </c>
    </row>
    <row r="445" spans="2:10" ht="13.5" thickBot="1">
      <c r="B445" s="249">
        <f t="shared" si="26"/>
        <v>440</v>
      </c>
      <c r="C445" s="5"/>
      <c r="D445" s="5"/>
      <c r="E445" s="5"/>
      <c r="F445" s="5"/>
      <c r="G445" s="5" t="s">
        <v>331</v>
      </c>
      <c r="H445" s="75">
        <v>47548</v>
      </c>
      <c r="I445" s="75">
        <v>21147</v>
      </c>
      <c r="J445" s="208">
        <f t="shared" si="23"/>
        <v>44.4750567847228</v>
      </c>
    </row>
    <row r="446" spans="2:10" ht="15.75" thickBot="1">
      <c r="B446" s="249">
        <f t="shared" si="26"/>
        <v>441</v>
      </c>
      <c r="C446" s="142">
        <v>11</v>
      </c>
      <c r="D446" s="142"/>
      <c r="E446" s="142"/>
      <c r="F446" s="142"/>
      <c r="G446" s="142" t="s">
        <v>588</v>
      </c>
      <c r="H446" s="143">
        <v>0</v>
      </c>
      <c r="I446" s="143">
        <f>I447</f>
        <v>1569</v>
      </c>
      <c r="J446" s="208">
        <v>0</v>
      </c>
    </row>
    <row r="447" spans="2:10" ht="12.75">
      <c r="B447" s="249">
        <f t="shared" si="26"/>
        <v>442</v>
      </c>
      <c r="C447" s="6">
        <v>310</v>
      </c>
      <c r="D447" s="6"/>
      <c r="E447" s="6"/>
      <c r="F447" s="6"/>
      <c r="G447" s="6" t="s">
        <v>223</v>
      </c>
      <c r="H447" s="69">
        <v>0</v>
      </c>
      <c r="I447" s="69">
        <v>1569</v>
      </c>
      <c r="J447" s="208">
        <v>0</v>
      </c>
    </row>
    <row r="448" spans="2:10" ht="12.75">
      <c r="B448" s="249">
        <f t="shared" si="26"/>
        <v>443</v>
      </c>
      <c r="C448" s="3"/>
      <c r="D448" s="3">
        <v>311</v>
      </c>
      <c r="E448" s="3"/>
      <c r="F448" s="3"/>
      <c r="G448" s="3" t="s">
        <v>222</v>
      </c>
      <c r="H448" s="70">
        <v>0</v>
      </c>
      <c r="I448" s="70">
        <v>1569</v>
      </c>
      <c r="J448" s="208">
        <v>0</v>
      </c>
    </row>
    <row r="449" spans="2:10" ht="13.5" thickBot="1">
      <c r="B449" s="249">
        <f t="shared" si="26"/>
        <v>444</v>
      </c>
      <c r="C449" s="4"/>
      <c r="D449" s="5"/>
      <c r="E449" s="5">
        <v>311</v>
      </c>
      <c r="F449" s="5"/>
      <c r="G449" s="5" t="s">
        <v>531</v>
      </c>
      <c r="H449" s="71">
        <v>0</v>
      </c>
      <c r="I449" s="71">
        <v>1569</v>
      </c>
      <c r="J449" s="208">
        <v>0</v>
      </c>
    </row>
    <row r="450" spans="2:10" ht="15.75" thickBot="1">
      <c r="B450" s="249">
        <f t="shared" si="26"/>
        <v>445</v>
      </c>
      <c r="C450" s="142">
        <v>12</v>
      </c>
      <c r="D450" s="142"/>
      <c r="E450" s="142"/>
      <c r="F450" s="142"/>
      <c r="G450" s="142" t="s">
        <v>7</v>
      </c>
      <c r="H450" s="143">
        <v>0</v>
      </c>
      <c r="I450" s="143">
        <v>165</v>
      </c>
      <c r="J450" s="208">
        <v>0</v>
      </c>
    </row>
    <row r="451" spans="2:10" ht="12.75">
      <c r="B451" s="249">
        <f t="shared" si="26"/>
        <v>446</v>
      </c>
      <c r="C451" s="210">
        <v>311</v>
      </c>
      <c r="D451" s="210">
        <v>311</v>
      </c>
      <c r="E451" s="210">
        <v>311</v>
      </c>
      <c r="F451" s="210"/>
      <c r="G451" s="210" t="s">
        <v>589</v>
      </c>
      <c r="H451" s="209">
        <v>0</v>
      </c>
      <c r="I451" s="209">
        <v>165</v>
      </c>
      <c r="J451" s="208">
        <v>0</v>
      </c>
    </row>
    <row r="452" spans="2:10" ht="13.5" thickBot="1">
      <c r="B452" s="249">
        <f t="shared" si="26"/>
        <v>447</v>
      </c>
      <c r="C452" s="55">
        <v>311</v>
      </c>
      <c r="D452" s="55">
        <v>311</v>
      </c>
      <c r="E452" s="55">
        <v>311</v>
      </c>
      <c r="F452" s="55"/>
      <c r="G452" s="55" t="s">
        <v>589</v>
      </c>
      <c r="H452" s="164">
        <v>0</v>
      </c>
      <c r="I452" s="164">
        <v>165</v>
      </c>
      <c r="J452" s="208">
        <v>0</v>
      </c>
    </row>
    <row r="453" spans="2:10" ht="15.75" thickBot="1">
      <c r="B453" s="249">
        <f t="shared" si="26"/>
        <v>448</v>
      </c>
      <c r="C453" s="142">
        <v>13</v>
      </c>
      <c r="D453" s="142"/>
      <c r="E453" s="142"/>
      <c r="F453" s="142"/>
      <c r="G453" s="142" t="s">
        <v>590</v>
      </c>
      <c r="H453" s="143">
        <f>H454</f>
        <v>0</v>
      </c>
      <c r="I453" s="143">
        <f>I454</f>
        <v>146</v>
      </c>
      <c r="J453" s="208">
        <v>0</v>
      </c>
    </row>
    <row r="454" spans="2:10" ht="12.75">
      <c r="B454" s="249">
        <f t="shared" si="26"/>
        <v>449</v>
      </c>
      <c r="C454" s="138"/>
      <c r="D454" s="3">
        <v>311</v>
      </c>
      <c r="E454" s="3"/>
      <c r="F454" s="3"/>
      <c r="G454" s="3" t="s">
        <v>222</v>
      </c>
      <c r="H454" s="70">
        <f>H455</f>
        <v>0</v>
      </c>
      <c r="I454" s="70">
        <f>I455</f>
        <v>146</v>
      </c>
      <c r="J454" s="208">
        <v>0</v>
      </c>
    </row>
    <row r="455" spans="2:10" ht="13.5" thickBot="1">
      <c r="B455" s="249">
        <f t="shared" si="26"/>
        <v>450</v>
      </c>
      <c r="C455" s="138"/>
      <c r="D455" s="5"/>
      <c r="E455" s="5">
        <v>311</v>
      </c>
      <c r="F455" s="5"/>
      <c r="G455" s="5" t="s">
        <v>531</v>
      </c>
      <c r="H455" s="75">
        <v>0</v>
      </c>
      <c r="I455" s="75">
        <v>146</v>
      </c>
      <c r="J455" s="208">
        <v>0</v>
      </c>
    </row>
    <row r="456" spans="2:10" ht="15.75" thickBot="1">
      <c r="B456" s="249">
        <f t="shared" si="26"/>
        <v>451</v>
      </c>
      <c r="C456" s="142">
        <v>13</v>
      </c>
      <c r="D456" s="142"/>
      <c r="E456" s="142"/>
      <c r="F456" s="142"/>
      <c r="G456" s="142" t="s">
        <v>16</v>
      </c>
      <c r="H456" s="143">
        <f>H457</f>
        <v>330</v>
      </c>
      <c r="I456" s="143">
        <f>I457</f>
        <v>2930</v>
      </c>
      <c r="J456" s="208">
        <f t="shared" si="23"/>
        <v>887.8787878787879</v>
      </c>
    </row>
    <row r="457" spans="2:10" ht="12.75">
      <c r="B457" s="249">
        <f t="shared" si="26"/>
        <v>452</v>
      </c>
      <c r="C457" s="138"/>
      <c r="D457" s="3">
        <v>311</v>
      </c>
      <c r="E457" s="3"/>
      <c r="F457" s="3"/>
      <c r="G457" s="3" t="s">
        <v>222</v>
      </c>
      <c r="H457" s="70">
        <f>H458</f>
        <v>330</v>
      </c>
      <c r="I457" s="70">
        <f>I458</f>
        <v>2930</v>
      </c>
      <c r="J457" s="208">
        <f t="shared" si="23"/>
        <v>887.8787878787879</v>
      </c>
    </row>
    <row r="458" spans="2:10" ht="12.75">
      <c r="B458" s="249">
        <f t="shared" si="26"/>
        <v>453</v>
      </c>
      <c r="C458" s="138"/>
      <c r="D458" s="5"/>
      <c r="E458" s="5">
        <v>311</v>
      </c>
      <c r="F458" s="5"/>
      <c r="G458" s="5" t="s">
        <v>531</v>
      </c>
      <c r="H458" s="75">
        <v>330</v>
      </c>
      <c r="I458" s="75">
        <f>330+2600</f>
        <v>2930</v>
      </c>
      <c r="J458" s="208">
        <f t="shared" si="23"/>
        <v>887.8787878787879</v>
      </c>
    </row>
    <row r="459" spans="2:10" ht="15.75" thickBot="1">
      <c r="B459" s="251">
        <f>B458+1</f>
        <v>454</v>
      </c>
      <c r="C459" s="252"/>
      <c r="D459" s="252"/>
      <c r="E459" s="252"/>
      <c r="F459" s="252"/>
      <c r="G459" s="252" t="s">
        <v>117</v>
      </c>
      <c r="H459" s="253">
        <f>H389+H22+H6</f>
        <v>49369897</v>
      </c>
      <c r="I459" s="253">
        <f>I389+I22+I6</f>
        <v>24997486</v>
      </c>
      <c r="J459" s="248">
        <f t="shared" si="23"/>
        <v>50.63305276897783</v>
      </c>
    </row>
    <row r="461" ht="13.5" thickBot="1"/>
    <row r="462" spans="2:10" ht="12.75" customHeight="1" thickBot="1">
      <c r="B462" s="260" t="s">
        <v>571</v>
      </c>
      <c r="C462" s="260"/>
      <c r="D462" s="260"/>
      <c r="E462" s="260"/>
      <c r="F462" s="260"/>
      <c r="G462" s="260"/>
      <c r="H462" s="262" t="s">
        <v>515</v>
      </c>
      <c r="I462" s="262" t="s">
        <v>563</v>
      </c>
      <c r="J462" s="264" t="s">
        <v>562</v>
      </c>
    </row>
    <row r="463" spans="2:10" ht="12.75" customHeight="1" thickBot="1" thickTop="1">
      <c r="B463" s="260"/>
      <c r="C463" s="260"/>
      <c r="D463" s="260"/>
      <c r="E463" s="260"/>
      <c r="F463" s="260"/>
      <c r="G463" s="260"/>
      <c r="H463" s="262"/>
      <c r="I463" s="262"/>
      <c r="J463" s="264"/>
    </row>
    <row r="464" spans="2:10" ht="14.25" thickBot="1" thickTop="1">
      <c r="B464" s="263" t="s">
        <v>111</v>
      </c>
      <c r="C464" s="258" t="s">
        <v>112</v>
      </c>
      <c r="D464" s="259" t="s">
        <v>113</v>
      </c>
      <c r="E464" s="259" t="s">
        <v>115</v>
      </c>
      <c r="F464" s="259" t="s">
        <v>116</v>
      </c>
      <c r="G464" s="261" t="s">
        <v>114</v>
      </c>
      <c r="H464" s="262"/>
      <c r="I464" s="262"/>
      <c r="J464" s="264"/>
    </row>
    <row r="465" spans="2:10" ht="14.25" thickBot="1" thickTop="1">
      <c r="B465" s="263"/>
      <c r="C465" s="258"/>
      <c r="D465" s="259"/>
      <c r="E465" s="259"/>
      <c r="F465" s="259"/>
      <c r="G465" s="261"/>
      <c r="H465" s="262"/>
      <c r="I465" s="262"/>
      <c r="J465" s="264"/>
    </row>
    <row r="466" spans="2:10" ht="17.25" thickBot="1" thickTop="1">
      <c r="B466" s="249">
        <v>1</v>
      </c>
      <c r="C466" s="10">
        <v>200</v>
      </c>
      <c r="D466" s="10"/>
      <c r="E466" s="10"/>
      <c r="F466" s="10"/>
      <c r="G466" s="10" t="s">
        <v>166</v>
      </c>
      <c r="H466" s="67">
        <f>H467+H474</f>
        <v>236000</v>
      </c>
      <c r="I466" s="67">
        <f>I467+I474</f>
        <v>165032</v>
      </c>
      <c r="J466" s="208">
        <f aca="true" t="shared" si="27" ref="J466:J499">I466/H466*100</f>
        <v>69.92881355932204</v>
      </c>
    </row>
    <row r="467" spans="2:10" ht="15.75" thickBot="1">
      <c r="B467" s="249">
        <f>B466+1</f>
        <v>2</v>
      </c>
      <c r="C467" s="18"/>
      <c r="D467" s="11"/>
      <c r="E467" s="11"/>
      <c r="F467" s="11"/>
      <c r="G467" s="11" t="s">
        <v>35</v>
      </c>
      <c r="H467" s="68">
        <f>H468</f>
        <v>235000</v>
      </c>
      <c r="I467" s="68">
        <f>I468</f>
        <v>164812</v>
      </c>
      <c r="J467" s="208">
        <f t="shared" si="27"/>
        <v>70.13276595744681</v>
      </c>
    </row>
    <row r="468" spans="2:10" ht="12.75">
      <c r="B468" s="249">
        <f>B467+1</f>
        <v>3</v>
      </c>
      <c r="C468" s="19">
        <v>230</v>
      </c>
      <c r="D468" s="6"/>
      <c r="E468" s="6"/>
      <c r="F468" s="6"/>
      <c r="G468" s="6" t="s">
        <v>167</v>
      </c>
      <c r="H468" s="69">
        <f>H472+H469</f>
        <v>235000</v>
      </c>
      <c r="I468" s="69">
        <f>I472+I469</f>
        <v>164812</v>
      </c>
      <c r="J468" s="208">
        <f t="shared" si="27"/>
        <v>70.13276595744681</v>
      </c>
    </row>
    <row r="469" spans="2:10" ht="12.75">
      <c r="B469" s="249">
        <f aca="true" t="shared" si="28" ref="B469:B479">B468+1</f>
        <v>4</v>
      </c>
      <c r="C469" s="20"/>
      <c r="D469" s="3">
        <v>231</v>
      </c>
      <c r="E469" s="3"/>
      <c r="F469" s="3"/>
      <c r="G469" s="3" t="s">
        <v>264</v>
      </c>
      <c r="H469" s="70">
        <f>H470</f>
        <v>35000</v>
      </c>
      <c r="I469" s="70">
        <v>651</v>
      </c>
      <c r="J469" s="208">
        <f t="shared" si="27"/>
        <v>1.8599999999999999</v>
      </c>
    </row>
    <row r="470" spans="2:10" ht="12.75">
      <c r="B470" s="249">
        <f t="shared" si="28"/>
        <v>5</v>
      </c>
      <c r="C470" s="17"/>
      <c r="D470" s="4"/>
      <c r="E470" s="4">
        <v>231</v>
      </c>
      <c r="F470" s="4"/>
      <c r="G470" s="4" t="s">
        <v>427</v>
      </c>
      <c r="H470" s="71">
        <v>35000</v>
      </c>
      <c r="I470" s="71">
        <v>0</v>
      </c>
      <c r="J470" s="208">
        <f t="shared" si="27"/>
        <v>0</v>
      </c>
    </row>
    <row r="471" spans="2:10" ht="12.75">
      <c r="B471" s="249">
        <f t="shared" si="28"/>
        <v>6</v>
      </c>
      <c r="C471" s="17"/>
      <c r="D471" s="4"/>
      <c r="E471" s="4">
        <v>231</v>
      </c>
      <c r="F471" s="4"/>
      <c r="G471" s="4" t="s">
        <v>573</v>
      </c>
      <c r="H471" s="71">
        <v>0</v>
      </c>
      <c r="I471" s="71">
        <v>351</v>
      </c>
      <c r="J471" s="208">
        <v>0</v>
      </c>
    </row>
    <row r="472" spans="2:10" ht="12.75">
      <c r="B472" s="249">
        <f t="shared" si="28"/>
        <v>7</v>
      </c>
      <c r="C472" s="20"/>
      <c r="D472" s="3">
        <v>233</v>
      </c>
      <c r="E472" s="3"/>
      <c r="F472" s="3"/>
      <c r="G472" s="3" t="s">
        <v>168</v>
      </c>
      <c r="H472" s="70">
        <f>H473</f>
        <v>200000</v>
      </c>
      <c r="I472" s="70">
        <f>I473</f>
        <v>164161</v>
      </c>
      <c r="J472" s="208">
        <f t="shared" si="27"/>
        <v>82.0805</v>
      </c>
    </row>
    <row r="473" spans="2:10" ht="13.5" thickBot="1">
      <c r="B473" s="249">
        <f t="shared" si="28"/>
        <v>8</v>
      </c>
      <c r="C473" s="17"/>
      <c r="D473" s="4"/>
      <c r="E473" s="4">
        <v>233001</v>
      </c>
      <c r="F473" s="4"/>
      <c r="G473" s="4" t="s">
        <v>169</v>
      </c>
      <c r="H473" s="71">
        <v>200000</v>
      </c>
      <c r="I473" s="71">
        <v>164161</v>
      </c>
      <c r="J473" s="208">
        <f t="shared" si="27"/>
        <v>82.0805</v>
      </c>
    </row>
    <row r="474" spans="2:10" ht="15.75" thickBot="1">
      <c r="B474" s="249">
        <f t="shared" si="28"/>
        <v>9</v>
      </c>
      <c r="C474" s="144">
        <v>2</v>
      </c>
      <c r="D474" s="144"/>
      <c r="E474" s="144"/>
      <c r="F474" s="144"/>
      <c r="G474" s="144" t="s">
        <v>15</v>
      </c>
      <c r="H474" s="145">
        <f>H475</f>
        <v>1000</v>
      </c>
      <c r="I474" s="145">
        <f>I475</f>
        <v>220</v>
      </c>
      <c r="J474" s="208">
        <f t="shared" si="27"/>
        <v>22</v>
      </c>
    </row>
    <row r="475" spans="2:10" ht="12.75">
      <c r="B475" s="249">
        <f t="shared" si="28"/>
        <v>10</v>
      </c>
      <c r="C475" s="146">
        <v>230</v>
      </c>
      <c r="D475" s="147"/>
      <c r="E475" s="147"/>
      <c r="F475" s="147"/>
      <c r="G475" s="147" t="s">
        <v>167</v>
      </c>
      <c r="H475" s="148">
        <f>H476</f>
        <v>1000</v>
      </c>
      <c r="I475" s="148">
        <f>I476</f>
        <v>220</v>
      </c>
      <c r="J475" s="208">
        <f t="shared" si="27"/>
        <v>22</v>
      </c>
    </row>
    <row r="476" spans="2:10" ht="12.75">
      <c r="B476" s="249">
        <f t="shared" si="28"/>
        <v>11</v>
      </c>
      <c r="C476" s="149"/>
      <c r="D476" s="150">
        <v>231</v>
      </c>
      <c r="E476" s="150"/>
      <c r="F476" s="150"/>
      <c r="G476" s="150" t="s">
        <v>264</v>
      </c>
      <c r="H476" s="151">
        <v>1000</v>
      </c>
      <c r="I476" s="151">
        <v>220</v>
      </c>
      <c r="J476" s="208">
        <f t="shared" si="27"/>
        <v>22</v>
      </c>
    </row>
    <row r="477" spans="2:10" ht="16.5" thickBot="1">
      <c r="B477" s="249">
        <f t="shared" si="28"/>
        <v>12</v>
      </c>
      <c r="C477" s="10">
        <v>300</v>
      </c>
      <c r="D477" s="10"/>
      <c r="E477" s="10"/>
      <c r="F477" s="10"/>
      <c r="G477" s="10" t="s">
        <v>222</v>
      </c>
      <c r="H477" s="67">
        <f>H478</f>
        <v>5503045</v>
      </c>
      <c r="I477" s="67">
        <f>I478</f>
        <v>785721</v>
      </c>
      <c r="J477" s="208">
        <f t="shared" si="27"/>
        <v>14.277931581515324</v>
      </c>
    </row>
    <row r="478" spans="2:10" ht="15.75" thickBot="1">
      <c r="B478" s="249">
        <f t="shared" si="28"/>
        <v>13</v>
      </c>
      <c r="C478" s="11"/>
      <c r="D478" s="11"/>
      <c r="E478" s="11"/>
      <c r="F478" s="11"/>
      <c r="G478" s="11" t="s">
        <v>35</v>
      </c>
      <c r="H478" s="68">
        <f>H479</f>
        <v>5503045</v>
      </c>
      <c r="I478" s="68">
        <f>I479</f>
        <v>785721</v>
      </c>
      <c r="J478" s="208">
        <f t="shared" si="27"/>
        <v>14.277931581515324</v>
      </c>
    </row>
    <row r="479" spans="2:10" ht="12.75">
      <c r="B479" s="249">
        <f t="shared" si="28"/>
        <v>14</v>
      </c>
      <c r="C479" s="6">
        <v>320</v>
      </c>
      <c r="D479" s="6"/>
      <c r="E479" s="6"/>
      <c r="F479" s="6"/>
      <c r="G479" s="6" t="s">
        <v>282</v>
      </c>
      <c r="H479" s="69">
        <f>H481+H480</f>
        <v>5503045</v>
      </c>
      <c r="I479" s="69">
        <f>I481+I480</f>
        <v>785721</v>
      </c>
      <c r="J479" s="208">
        <f t="shared" si="27"/>
        <v>14.277931581515324</v>
      </c>
    </row>
    <row r="480" spans="2:10" ht="12.75">
      <c r="B480" s="249">
        <f aca="true" t="shared" si="29" ref="B480:B499">B479+1</f>
        <v>15</v>
      </c>
      <c r="C480" s="3"/>
      <c r="D480" s="3">
        <v>321</v>
      </c>
      <c r="E480" s="3"/>
      <c r="F480" s="3"/>
      <c r="G480" s="3" t="s">
        <v>558</v>
      </c>
      <c r="H480" s="70">
        <v>10000</v>
      </c>
      <c r="I480" s="70"/>
      <c r="J480" s="208">
        <f t="shared" si="27"/>
        <v>0</v>
      </c>
    </row>
    <row r="481" spans="2:10" ht="12.75">
      <c r="B481" s="249">
        <f t="shared" si="29"/>
        <v>16</v>
      </c>
      <c r="C481" s="3"/>
      <c r="D481" s="3">
        <v>322</v>
      </c>
      <c r="E481" s="3"/>
      <c r="F481" s="3"/>
      <c r="G481" s="3" t="s">
        <v>187</v>
      </c>
      <c r="H481" s="70">
        <f>H482</f>
        <v>5493045</v>
      </c>
      <c r="I481" s="70">
        <f>I482</f>
        <v>785721</v>
      </c>
      <c r="J481" s="208">
        <f t="shared" si="27"/>
        <v>14.303924326125127</v>
      </c>
    </row>
    <row r="482" spans="2:10" ht="12.75">
      <c r="B482" s="249">
        <f t="shared" si="29"/>
        <v>17</v>
      </c>
      <c r="C482" s="4"/>
      <c r="D482" s="4"/>
      <c r="E482" s="4">
        <v>322001</v>
      </c>
      <c r="F482" s="4"/>
      <c r="G482" s="4" t="s">
        <v>283</v>
      </c>
      <c r="H482" s="71">
        <f>SUM(H483:H497)</f>
        <v>5493045</v>
      </c>
      <c r="I482" s="71">
        <f>SUM(I483:I498)</f>
        <v>785721</v>
      </c>
      <c r="J482" s="208">
        <f t="shared" si="27"/>
        <v>14.303924326125127</v>
      </c>
    </row>
    <row r="483" spans="2:10" ht="22.5">
      <c r="B483" s="249">
        <f t="shared" si="29"/>
        <v>18</v>
      </c>
      <c r="C483" s="5"/>
      <c r="D483" s="5"/>
      <c r="E483" s="5"/>
      <c r="F483" s="5"/>
      <c r="G483" s="106" t="s">
        <v>304</v>
      </c>
      <c r="H483" s="99">
        <v>170897</v>
      </c>
      <c r="I483" s="99">
        <v>0</v>
      </c>
      <c r="J483" s="208">
        <f t="shared" si="27"/>
        <v>0</v>
      </c>
    </row>
    <row r="484" spans="2:10" ht="22.5">
      <c r="B484" s="249">
        <f t="shared" si="29"/>
        <v>19</v>
      </c>
      <c r="C484" s="5"/>
      <c r="D484" s="5"/>
      <c r="E484" s="5"/>
      <c r="F484" s="5"/>
      <c r="G484" s="106" t="s">
        <v>305</v>
      </c>
      <c r="H484" s="99">
        <v>264194</v>
      </c>
      <c r="I484" s="99">
        <v>0</v>
      </c>
      <c r="J484" s="208">
        <f t="shared" si="27"/>
        <v>0</v>
      </c>
    </row>
    <row r="485" spans="2:10" ht="12.75">
      <c r="B485" s="249">
        <f t="shared" si="29"/>
        <v>20</v>
      </c>
      <c r="C485" s="5"/>
      <c r="D485" s="5"/>
      <c r="E485" s="5"/>
      <c r="F485" s="5"/>
      <c r="G485" s="106" t="s">
        <v>306</v>
      </c>
      <c r="H485" s="99">
        <v>547200</v>
      </c>
      <c r="I485" s="99">
        <f>289702+34083</f>
        <v>323785</v>
      </c>
      <c r="J485" s="208">
        <f t="shared" si="27"/>
        <v>59.17123538011696</v>
      </c>
    </row>
    <row r="486" spans="2:10" ht="12.75">
      <c r="B486" s="249">
        <f t="shared" si="29"/>
        <v>21</v>
      </c>
      <c r="C486" s="5"/>
      <c r="D486" s="5"/>
      <c r="E486" s="5"/>
      <c r="F486" s="5"/>
      <c r="G486" s="106" t="s">
        <v>431</v>
      </c>
      <c r="H486" s="99">
        <v>732939</v>
      </c>
      <c r="I486" s="99">
        <v>0</v>
      </c>
      <c r="J486" s="208">
        <f t="shared" si="27"/>
        <v>0</v>
      </c>
    </row>
    <row r="487" spans="2:10" ht="22.5">
      <c r="B487" s="249">
        <f t="shared" si="29"/>
        <v>22</v>
      </c>
      <c r="C487" s="5"/>
      <c r="D487" s="5"/>
      <c r="E487" s="5"/>
      <c r="F487" s="5"/>
      <c r="G487" s="106" t="s">
        <v>307</v>
      </c>
      <c r="H487" s="99">
        <v>60649</v>
      </c>
      <c r="I487" s="99">
        <v>0</v>
      </c>
      <c r="J487" s="208">
        <f t="shared" si="27"/>
        <v>0</v>
      </c>
    </row>
    <row r="488" spans="2:11" s="13" customFormat="1" ht="34.5" customHeight="1">
      <c r="B488" s="249">
        <f t="shared" si="29"/>
        <v>23</v>
      </c>
      <c r="C488" s="29"/>
      <c r="D488" s="29"/>
      <c r="E488" s="29"/>
      <c r="F488" s="29"/>
      <c r="G488" s="108" t="s">
        <v>512</v>
      </c>
      <c r="H488" s="107">
        <v>514238</v>
      </c>
      <c r="I488" s="107">
        <v>0</v>
      </c>
      <c r="J488" s="208">
        <f t="shared" si="27"/>
        <v>0</v>
      </c>
      <c r="K488" s="88"/>
    </row>
    <row r="489" spans="2:11" s="13" customFormat="1" ht="12.75">
      <c r="B489" s="249">
        <f t="shared" si="29"/>
        <v>24</v>
      </c>
      <c r="C489" s="29"/>
      <c r="D489" s="29"/>
      <c r="E489" s="29"/>
      <c r="F489" s="29"/>
      <c r="G489" s="109" t="s">
        <v>513</v>
      </c>
      <c r="H489" s="107">
        <v>154209</v>
      </c>
      <c r="I489" s="107">
        <v>0</v>
      </c>
      <c r="J489" s="208">
        <f t="shared" si="27"/>
        <v>0</v>
      </c>
      <c r="K489" s="88"/>
    </row>
    <row r="490" spans="2:11" s="13" customFormat="1" ht="33.75">
      <c r="B490" s="249">
        <f t="shared" si="29"/>
        <v>25</v>
      </c>
      <c r="C490" s="29"/>
      <c r="D490" s="29"/>
      <c r="E490" s="29"/>
      <c r="F490" s="29"/>
      <c r="G490" s="108" t="s">
        <v>514</v>
      </c>
      <c r="H490" s="107">
        <v>1300706</v>
      </c>
      <c r="I490" s="107">
        <v>0</v>
      </c>
      <c r="J490" s="208">
        <f t="shared" si="27"/>
        <v>0</v>
      </c>
      <c r="K490" s="88"/>
    </row>
    <row r="491" spans="2:11" s="13" customFormat="1" ht="33.75">
      <c r="B491" s="249">
        <f t="shared" si="29"/>
        <v>26</v>
      </c>
      <c r="C491" s="29"/>
      <c r="D491" s="29"/>
      <c r="E491" s="29"/>
      <c r="F491" s="29"/>
      <c r="G491" s="110" t="s">
        <v>438</v>
      </c>
      <c r="H491" s="107">
        <v>491025</v>
      </c>
      <c r="I491" s="107">
        <v>0</v>
      </c>
      <c r="J491" s="208">
        <f t="shared" si="27"/>
        <v>0</v>
      </c>
      <c r="K491" s="88"/>
    </row>
    <row r="492" spans="2:11" s="13" customFormat="1" ht="22.5">
      <c r="B492" s="249">
        <f t="shared" si="29"/>
        <v>27</v>
      </c>
      <c r="C492" s="29"/>
      <c r="D492" s="29"/>
      <c r="E492" s="29"/>
      <c r="F492" s="29"/>
      <c r="G492" s="250" t="s">
        <v>439</v>
      </c>
      <c r="H492" s="107">
        <v>87258</v>
      </c>
      <c r="I492" s="107">
        <v>0</v>
      </c>
      <c r="J492" s="208">
        <f t="shared" si="27"/>
        <v>0</v>
      </c>
      <c r="K492" s="88"/>
    </row>
    <row r="493" spans="2:11" s="13" customFormat="1" ht="12.75">
      <c r="B493" s="249">
        <f t="shared" si="29"/>
        <v>28</v>
      </c>
      <c r="C493" s="29"/>
      <c r="D493" s="29"/>
      <c r="E493" s="29"/>
      <c r="F493" s="29"/>
      <c r="G493" s="98" t="s">
        <v>455</v>
      </c>
      <c r="H493" s="107">
        <v>482600</v>
      </c>
      <c r="I493" s="107">
        <v>0</v>
      </c>
      <c r="J493" s="208">
        <f t="shared" si="27"/>
        <v>0</v>
      </c>
      <c r="K493" s="88"/>
    </row>
    <row r="494" spans="2:10" ht="12.75">
      <c r="B494" s="249">
        <f t="shared" si="29"/>
        <v>29</v>
      </c>
      <c r="C494" s="5"/>
      <c r="D494" s="5"/>
      <c r="E494" s="5"/>
      <c r="F494" s="5"/>
      <c r="G494" s="5" t="s">
        <v>301</v>
      </c>
      <c r="H494" s="75">
        <v>115057</v>
      </c>
      <c r="I494" s="75">
        <v>0</v>
      </c>
      <c r="J494" s="208">
        <f t="shared" si="27"/>
        <v>0</v>
      </c>
    </row>
    <row r="495" spans="2:10" ht="12.75">
      <c r="B495" s="249">
        <f t="shared" si="29"/>
        <v>30</v>
      </c>
      <c r="C495" s="5"/>
      <c r="D495" s="5"/>
      <c r="E495" s="5"/>
      <c r="F495" s="5"/>
      <c r="G495" s="5" t="s">
        <v>302</v>
      </c>
      <c r="H495" s="75">
        <v>66304</v>
      </c>
      <c r="I495" s="75">
        <v>0</v>
      </c>
      <c r="J495" s="208">
        <f t="shared" si="27"/>
        <v>0</v>
      </c>
    </row>
    <row r="496" spans="2:10" ht="12.75">
      <c r="B496" s="249">
        <f t="shared" si="29"/>
        <v>31</v>
      </c>
      <c r="C496" s="5"/>
      <c r="D496" s="5"/>
      <c r="E496" s="5"/>
      <c r="F496" s="5"/>
      <c r="G496" s="5" t="s">
        <v>303</v>
      </c>
      <c r="H496" s="75">
        <v>49769</v>
      </c>
      <c r="I496" s="75">
        <v>0</v>
      </c>
      <c r="J496" s="208">
        <f t="shared" si="27"/>
        <v>0</v>
      </c>
    </row>
    <row r="497" spans="2:10" ht="12.75">
      <c r="B497" s="249">
        <f t="shared" si="29"/>
        <v>32</v>
      </c>
      <c r="C497" s="138"/>
      <c r="D497" s="138"/>
      <c r="E497" s="138"/>
      <c r="F497" s="138"/>
      <c r="G497" s="138" t="s">
        <v>523</v>
      </c>
      <c r="H497" s="139">
        <v>456000</v>
      </c>
      <c r="I497" s="139">
        <v>456000</v>
      </c>
      <c r="J497" s="208">
        <f t="shared" si="27"/>
        <v>100</v>
      </c>
    </row>
    <row r="498" spans="2:10" ht="12.75">
      <c r="B498" s="249">
        <f t="shared" si="29"/>
        <v>33</v>
      </c>
      <c r="C498" s="138"/>
      <c r="D498" s="138"/>
      <c r="E498" s="138"/>
      <c r="F498" s="138"/>
      <c r="G498" s="5" t="s">
        <v>328</v>
      </c>
      <c r="H498" s="139"/>
      <c r="I498" s="139">
        <f>5311+625</f>
        <v>5936</v>
      </c>
      <c r="J498" s="208">
        <v>0</v>
      </c>
    </row>
    <row r="499" spans="2:10" ht="15.75" thickBot="1">
      <c r="B499" s="251">
        <f t="shared" si="29"/>
        <v>34</v>
      </c>
      <c r="C499" s="252"/>
      <c r="D499" s="252"/>
      <c r="E499" s="252"/>
      <c r="F499" s="252"/>
      <c r="G499" s="252" t="s">
        <v>37</v>
      </c>
      <c r="H499" s="253">
        <f>H477+H466</f>
        <v>5739045</v>
      </c>
      <c r="I499" s="253">
        <f>I477+I466</f>
        <v>950753</v>
      </c>
      <c r="J499" s="248">
        <f t="shared" si="27"/>
        <v>16.56639737099117</v>
      </c>
    </row>
    <row r="500" ht="13.5" thickBot="1"/>
    <row r="501" spans="2:10" ht="12.75" customHeight="1" thickBot="1">
      <c r="B501" s="260" t="s">
        <v>572</v>
      </c>
      <c r="C501" s="260"/>
      <c r="D501" s="260"/>
      <c r="E501" s="260"/>
      <c r="F501" s="260"/>
      <c r="G501" s="260"/>
      <c r="H501" s="262" t="s">
        <v>515</v>
      </c>
      <c r="I501" s="262" t="s">
        <v>563</v>
      </c>
      <c r="J501" s="264" t="s">
        <v>562</v>
      </c>
    </row>
    <row r="502" spans="2:10" ht="12.75" customHeight="1" thickBot="1" thickTop="1">
      <c r="B502" s="260"/>
      <c r="C502" s="260"/>
      <c r="D502" s="260"/>
      <c r="E502" s="260"/>
      <c r="F502" s="260"/>
      <c r="G502" s="260"/>
      <c r="H502" s="262"/>
      <c r="I502" s="262"/>
      <c r="J502" s="264"/>
    </row>
    <row r="503" spans="2:10" ht="14.25" thickBot="1" thickTop="1">
      <c r="B503" s="263" t="s">
        <v>111</v>
      </c>
      <c r="C503" s="258" t="s">
        <v>112</v>
      </c>
      <c r="D503" s="259" t="s">
        <v>113</v>
      </c>
      <c r="E503" s="259" t="s">
        <v>115</v>
      </c>
      <c r="F503" s="259" t="s">
        <v>116</v>
      </c>
      <c r="G503" s="261" t="s">
        <v>114</v>
      </c>
      <c r="H503" s="262"/>
      <c r="I503" s="262"/>
      <c r="J503" s="264"/>
    </row>
    <row r="504" spans="2:10" ht="14.25" thickBot="1" thickTop="1">
      <c r="B504" s="263"/>
      <c r="C504" s="258"/>
      <c r="D504" s="259"/>
      <c r="E504" s="259"/>
      <c r="F504" s="259"/>
      <c r="G504" s="261"/>
      <c r="H504" s="262"/>
      <c r="I504" s="262"/>
      <c r="J504" s="264"/>
    </row>
    <row r="505" spans="2:10" ht="15.75" thickTop="1">
      <c r="B505" s="244">
        <v>1</v>
      </c>
      <c r="C505" s="1"/>
      <c r="D505" s="1"/>
      <c r="E505" s="1"/>
      <c r="F505" s="1"/>
      <c r="G505" s="1" t="s">
        <v>117</v>
      </c>
      <c r="H505" s="77">
        <f>H459</f>
        <v>49369897</v>
      </c>
      <c r="I505" s="77">
        <f>I459</f>
        <v>24997486</v>
      </c>
      <c r="J505" s="208">
        <f>I505/H505*100</f>
        <v>50.63305276897783</v>
      </c>
    </row>
    <row r="506" spans="2:10" ht="15.75" thickBot="1">
      <c r="B506" s="244">
        <v>2</v>
      </c>
      <c r="C506" s="1"/>
      <c r="D506" s="1"/>
      <c r="E506" s="1"/>
      <c r="F506" s="1"/>
      <c r="G506" s="1" t="s">
        <v>37</v>
      </c>
      <c r="H506" s="77">
        <f>H499</f>
        <v>5739045</v>
      </c>
      <c r="I506" s="77">
        <f>I499</f>
        <v>950753</v>
      </c>
      <c r="J506" s="208">
        <f>I506/H506*100</f>
        <v>16.56639737099117</v>
      </c>
    </row>
    <row r="507" spans="2:10" ht="16.5" thickBot="1" thickTop="1">
      <c r="B507" s="245">
        <v>3</v>
      </c>
      <c r="C507" s="246"/>
      <c r="D507" s="246"/>
      <c r="E507" s="246"/>
      <c r="F507" s="246"/>
      <c r="G507" s="246" t="s">
        <v>38</v>
      </c>
      <c r="H507" s="247">
        <f>H506+H505</f>
        <v>55108942</v>
      </c>
      <c r="I507" s="247">
        <f>I506+I505</f>
        <v>25948239</v>
      </c>
      <c r="J507" s="248">
        <f>I507/H507*100</f>
        <v>47.08535141175456</v>
      </c>
    </row>
  </sheetData>
  <sheetProtection/>
  <mergeCells count="31">
    <mergeCell ref="I2:I5"/>
    <mergeCell ref="J2:J5"/>
    <mergeCell ref="I462:I465"/>
    <mergeCell ref="J462:J465"/>
    <mergeCell ref="I501:I504"/>
    <mergeCell ref="J501:J504"/>
    <mergeCell ref="B2:G3"/>
    <mergeCell ref="H462:H465"/>
    <mergeCell ref="G4:G5"/>
    <mergeCell ref="H2:H5"/>
    <mergeCell ref="D464:D465"/>
    <mergeCell ref="B4:B5"/>
    <mergeCell ref="C4:C5"/>
    <mergeCell ref="D4:D5"/>
    <mergeCell ref="F4:F5"/>
    <mergeCell ref="H501:H504"/>
    <mergeCell ref="G464:G465"/>
    <mergeCell ref="B464:B465"/>
    <mergeCell ref="B501:G502"/>
    <mergeCell ref="E464:E465"/>
    <mergeCell ref="B503:B504"/>
    <mergeCell ref="B1:J1"/>
    <mergeCell ref="C503:C504"/>
    <mergeCell ref="D503:D504"/>
    <mergeCell ref="E503:E504"/>
    <mergeCell ref="F503:F504"/>
    <mergeCell ref="E4:E5"/>
    <mergeCell ref="F464:F465"/>
    <mergeCell ref="B462:G463"/>
    <mergeCell ref="G503:G504"/>
    <mergeCell ref="C464:C465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U183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26" customWidth="1"/>
    <col min="3" max="3" width="3.7109375" style="0" customWidth="1"/>
    <col min="4" max="4" width="4.00390625" style="0" customWidth="1"/>
    <col min="5" max="5" width="6.28125" style="0" customWidth="1"/>
    <col min="6" max="6" width="7.140625" style="38" customWidth="1"/>
    <col min="7" max="7" width="9.7109375" style="44" customWidth="1"/>
    <col min="8" max="8" width="46.421875" style="0" customWidth="1"/>
    <col min="9" max="10" width="12.8515625" style="16" customWidth="1"/>
    <col min="11" max="11" width="6.421875" style="220" customWidth="1"/>
    <col min="12" max="12" width="1.1484375" style="16" customWidth="1"/>
    <col min="13" max="14" width="12.00390625" style="16" customWidth="1"/>
    <col min="15" max="15" width="6.8515625" style="16" customWidth="1"/>
    <col min="16" max="16" width="0.85546875" style="16" customWidth="1"/>
    <col min="17" max="17" width="12.7109375" style="16" customWidth="1"/>
    <col min="18" max="18" width="12.57421875" style="0" customWidth="1"/>
    <col min="19" max="19" width="7.28125" style="0" customWidth="1"/>
    <col min="20" max="24" width="9.140625" style="0" customWidth="1"/>
  </cols>
  <sheetData>
    <row r="2" spans="2:17" ht="27.75" thickBot="1">
      <c r="B2" s="287" t="s">
        <v>34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2:19" ht="13.5" customHeight="1" thickBot="1">
      <c r="B3" s="269" t="s">
        <v>309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170"/>
      <c r="Q3" s="274" t="s">
        <v>515</v>
      </c>
      <c r="R3" s="265" t="s">
        <v>569</v>
      </c>
      <c r="S3" s="266" t="s">
        <v>564</v>
      </c>
    </row>
    <row r="4" spans="2:19" ht="12.75" customHeight="1" thickBot="1">
      <c r="B4" s="275"/>
      <c r="C4" s="273" t="s">
        <v>118</v>
      </c>
      <c r="D4" s="273" t="s">
        <v>119</v>
      </c>
      <c r="E4" s="276"/>
      <c r="F4" s="273" t="s">
        <v>120</v>
      </c>
      <c r="G4" s="270" t="s">
        <v>121</v>
      </c>
      <c r="H4" s="271" t="s">
        <v>122</v>
      </c>
      <c r="I4" s="267" t="s">
        <v>565</v>
      </c>
      <c r="J4" s="267" t="s">
        <v>566</v>
      </c>
      <c r="K4" s="268" t="s">
        <v>564</v>
      </c>
      <c r="L4" s="172"/>
      <c r="M4" s="272" t="s">
        <v>567</v>
      </c>
      <c r="N4" s="267" t="s">
        <v>568</v>
      </c>
      <c r="O4" s="268" t="s">
        <v>564</v>
      </c>
      <c r="P4" s="171"/>
      <c r="Q4" s="274"/>
      <c r="R4" s="265"/>
      <c r="S4" s="266"/>
    </row>
    <row r="5" spans="2:19" ht="13.5" thickBot="1">
      <c r="B5" s="275"/>
      <c r="C5" s="273"/>
      <c r="D5" s="273"/>
      <c r="E5" s="276"/>
      <c r="F5" s="273"/>
      <c r="G5" s="270"/>
      <c r="H5" s="271"/>
      <c r="I5" s="267"/>
      <c r="J5" s="267"/>
      <c r="K5" s="268"/>
      <c r="L5" s="172"/>
      <c r="M5" s="272"/>
      <c r="N5" s="267"/>
      <c r="O5" s="268"/>
      <c r="P5" s="171"/>
      <c r="Q5" s="274"/>
      <c r="R5" s="265"/>
      <c r="S5" s="266"/>
    </row>
    <row r="6" spans="2:19" ht="13.5" thickBot="1">
      <c r="B6" s="275"/>
      <c r="C6" s="273"/>
      <c r="D6" s="273"/>
      <c r="E6" s="276"/>
      <c r="F6" s="273"/>
      <c r="G6" s="270"/>
      <c r="H6" s="271"/>
      <c r="I6" s="267"/>
      <c r="J6" s="267"/>
      <c r="K6" s="268"/>
      <c r="L6" s="172"/>
      <c r="M6" s="272"/>
      <c r="N6" s="267"/>
      <c r="O6" s="268"/>
      <c r="P6" s="171"/>
      <c r="Q6" s="274"/>
      <c r="R6" s="265"/>
      <c r="S6" s="266"/>
    </row>
    <row r="7" spans="2:19" ht="21.75" customHeight="1">
      <c r="B7" s="275"/>
      <c r="C7" s="273"/>
      <c r="D7" s="273"/>
      <c r="E7" s="276"/>
      <c r="F7" s="273"/>
      <c r="G7" s="270"/>
      <c r="H7" s="271"/>
      <c r="I7" s="267"/>
      <c r="J7" s="267"/>
      <c r="K7" s="268"/>
      <c r="L7" s="173"/>
      <c r="M7" s="272"/>
      <c r="N7" s="267"/>
      <c r="O7" s="268"/>
      <c r="P7" s="171"/>
      <c r="Q7" s="274"/>
      <c r="R7" s="265"/>
      <c r="S7" s="266"/>
    </row>
    <row r="8" spans="2:19" ht="15.75">
      <c r="B8" s="27">
        <v>1</v>
      </c>
      <c r="C8" s="289" t="s">
        <v>34</v>
      </c>
      <c r="D8" s="290"/>
      <c r="E8" s="290"/>
      <c r="F8" s="290"/>
      <c r="G8" s="290"/>
      <c r="H8" s="291"/>
      <c r="I8" s="78">
        <f>I9+I36+I51+I59+I60+I61+I62+I70+I73</f>
        <v>667099</v>
      </c>
      <c r="J8" s="78">
        <f>J9+J36+J51+J59+J60+J61+J62+J70+J73</f>
        <v>184386</v>
      </c>
      <c r="K8" s="189">
        <f aca="true" t="shared" si="0" ref="K8:K71">J8/I8*100</f>
        <v>27.639975475903878</v>
      </c>
      <c r="L8" s="174"/>
      <c r="M8" s="78">
        <f>M9+M36+M51+M59+M60+M61+M62+M70+M73</f>
        <v>607330</v>
      </c>
      <c r="N8" s="78">
        <f>N9+N36+N51+N59+N60+N61+N62+N70+N73</f>
        <v>32958</v>
      </c>
      <c r="O8" s="189">
        <f>N8/M8*100</f>
        <v>5.426703768955922</v>
      </c>
      <c r="P8" s="174"/>
      <c r="Q8" s="78">
        <f aca="true" t="shared" si="1" ref="Q8:Q50">I8+M8</f>
        <v>1274429</v>
      </c>
      <c r="R8" s="78">
        <f aca="true" t="shared" si="2" ref="R8:R71">J8+N8</f>
        <v>217344</v>
      </c>
      <c r="S8" s="188">
        <f aca="true" t="shared" si="3" ref="S8:S71">R8/Q8*100</f>
        <v>17.054225853303713</v>
      </c>
    </row>
    <row r="9" spans="2:19" ht="15">
      <c r="B9" s="28">
        <f>B8+1</f>
        <v>2</v>
      </c>
      <c r="C9" s="7">
        <v>1</v>
      </c>
      <c r="D9" s="277" t="s">
        <v>198</v>
      </c>
      <c r="E9" s="278"/>
      <c r="F9" s="278"/>
      <c r="G9" s="278"/>
      <c r="H9" s="279"/>
      <c r="I9" s="79">
        <f>I10+I20+I23+I27</f>
        <v>213100</v>
      </c>
      <c r="J9" s="79">
        <f>J10+J20+J23+J27</f>
        <v>75253</v>
      </c>
      <c r="K9" s="190">
        <f t="shared" si="0"/>
        <v>35.31346785546692</v>
      </c>
      <c r="L9" s="175"/>
      <c r="M9" s="79">
        <f>M10+M20+M23+M27</f>
        <v>20000</v>
      </c>
      <c r="N9" s="79">
        <f>N10+N20+N23+N27</f>
        <v>18218</v>
      </c>
      <c r="O9" s="189">
        <f>N9/M9*100</f>
        <v>91.09</v>
      </c>
      <c r="P9" s="175"/>
      <c r="Q9" s="79">
        <f t="shared" si="1"/>
        <v>233100</v>
      </c>
      <c r="R9" s="79">
        <f t="shared" si="2"/>
        <v>93471</v>
      </c>
      <c r="S9" s="188">
        <f t="shared" si="3"/>
        <v>40.0990990990991</v>
      </c>
    </row>
    <row r="10" spans="2:19" ht="15">
      <c r="B10" s="28">
        <f>B9+1</f>
        <v>3</v>
      </c>
      <c r="C10" s="2"/>
      <c r="D10" s="2">
        <v>1</v>
      </c>
      <c r="E10" s="284" t="s">
        <v>212</v>
      </c>
      <c r="F10" s="278"/>
      <c r="G10" s="278"/>
      <c r="H10" s="279"/>
      <c r="I10" s="80">
        <f>I11+I17</f>
        <v>52520</v>
      </c>
      <c r="J10" s="80">
        <f>J11+J17</f>
        <v>10613</v>
      </c>
      <c r="K10" s="190">
        <f t="shared" si="0"/>
        <v>20.20753998476771</v>
      </c>
      <c r="L10" s="176"/>
      <c r="M10" s="80"/>
      <c r="N10" s="80"/>
      <c r="O10" s="189"/>
      <c r="P10" s="176"/>
      <c r="Q10" s="80">
        <f t="shared" si="1"/>
        <v>52520</v>
      </c>
      <c r="R10" s="80">
        <f t="shared" si="2"/>
        <v>10613</v>
      </c>
      <c r="S10" s="188">
        <f t="shared" si="3"/>
        <v>20.20753998476771</v>
      </c>
    </row>
    <row r="11" spans="2:19" ht="12.75">
      <c r="B11" s="28">
        <f aca="true" t="shared" si="4" ref="B11:B73">B10+1</f>
        <v>4</v>
      </c>
      <c r="C11" s="9"/>
      <c r="D11" s="9"/>
      <c r="E11" s="9"/>
      <c r="F11" s="31" t="s">
        <v>72</v>
      </c>
      <c r="G11" s="40">
        <v>630</v>
      </c>
      <c r="H11" s="9" t="s">
        <v>125</v>
      </c>
      <c r="I11" s="72">
        <f>SUM(I12:I16)</f>
        <v>28300</v>
      </c>
      <c r="J11" s="72">
        <f>SUM(J12:J16)</f>
        <v>10613</v>
      </c>
      <c r="K11" s="190">
        <f t="shared" si="0"/>
        <v>37.50176678445229</v>
      </c>
      <c r="L11" s="177"/>
      <c r="M11" s="72"/>
      <c r="N11" s="72"/>
      <c r="O11" s="189"/>
      <c r="P11" s="177"/>
      <c r="Q11" s="72">
        <f t="shared" si="1"/>
        <v>28300</v>
      </c>
      <c r="R11" s="72">
        <f t="shared" si="2"/>
        <v>10613</v>
      </c>
      <c r="S11" s="188">
        <f t="shared" si="3"/>
        <v>37.50176678445229</v>
      </c>
    </row>
    <row r="12" spans="2:19" ht="12.75">
      <c r="B12" s="28">
        <f t="shared" si="4"/>
        <v>5</v>
      </c>
      <c r="C12" s="4"/>
      <c r="D12" s="4"/>
      <c r="E12" s="4"/>
      <c r="F12" s="32" t="s">
        <v>72</v>
      </c>
      <c r="G12" s="41">
        <v>631</v>
      </c>
      <c r="H12" s="4" t="s">
        <v>131</v>
      </c>
      <c r="I12" s="71">
        <f>5000-2000</f>
        <v>3000</v>
      </c>
      <c r="J12" s="71">
        <v>676</v>
      </c>
      <c r="K12" s="190">
        <f t="shared" si="0"/>
        <v>22.53333333333333</v>
      </c>
      <c r="L12" s="178"/>
      <c r="M12" s="71"/>
      <c r="N12" s="71"/>
      <c r="O12" s="189"/>
      <c r="P12" s="178"/>
      <c r="Q12" s="71">
        <f t="shared" si="1"/>
        <v>3000</v>
      </c>
      <c r="R12" s="71">
        <f t="shared" si="2"/>
        <v>676</v>
      </c>
      <c r="S12" s="188">
        <f t="shared" si="3"/>
        <v>22.53333333333333</v>
      </c>
    </row>
    <row r="13" spans="2:19" ht="12.75">
      <c r="B13" s="28">
        <f t="shared" si="4"/>
        <v>6</v>
      </c>
      <c r="C13" s="4"/>
      <c r="D13" s="4"/>
      <c r="E13" s="4"/>
      <c r="F13" s="32" t="s">
        <v>72</v>
      </c>
      <c r="G13" s="41">
        <v>633</v>
      </c>
      <c r="H13" s="4" t="s">
        <v>129</v>
      </c>
      <c r="I13" s="71">
        <f>15000-1000</f>
        <v>14000</v>
      </c>
      <c r="J13" s="71">
        <v>4027</v>
      </c>
      <c r="K13" s="190">
        <f t="shared" si="0"/>
        <v>28.764285714285716</v>
      </c>
      <c r="L13" s="178"/>
      <c r="M13" s="71"/>
      <c r="N13" s="71"/>
      <c r="O13" s="189"/>
      <c r="P13" s="178"/>
      <c r="Q13" s="71">
        <f t="shared" si="1"/>
        <v>14000</v>
      </c>
      <c r="R13" s="71">
        <f t="shared" si="2"/>
        <v>4027</v>
      </c>
      <c r="S13" s="188">
        <f t="shared" si="3"/>
        <v>28.764285714285716</v>
      </c>
    </row>
    <row r="14" spans="2:19" ht="12.75">
      <c r="B14" s="28">
        <f t="shared" si="4"/>
        <v>7</v>
      </c>
      <c r="C14" s="4"/>
      <c r="D14" s="4"/>
      <c r="E14" s="4"/>
      <c r="F14" s="32" t="s">
        <v>72</v>
      </c>
      <c r="G14" s="41">
        <v>634</v>
      </c>
      <c r="H14" s="4" t="s">
        <v>135</v>
      </c>
      <c r="I14" s="71">
        <v>1000</v>
      </c>
      <c r="J14" s="71">
        <v>0</v>
      </c>
      <c r="K14" s="190">
        <f t="shared" si="0"/>
        <v>0</v>
      </c>
      <c r="L14" s="178"/>
      <c r="M14" s="71"/>
      <c r="N14" s="71"/>
      <c r="O14" s="189"/>
      <c r="P14" s="178"/>
      <c r="Q14" s="71">
        <f t="shared" si="1"/>
        <v>1000</v>
      </c>
      <c r="R14" s="71">
        <f t="shared" si="2"/>
        <v>0</v>
      </c>
      <c r="S14" s="188">
        <f t="shared" si="3"/>
        <v>0</v>
      </c>
    </row>
    <row r="15" spans="2:19" ht="12.75">
      <c r="B15" s="28">
        <f t="shared" si="4"/>
        <v>8</v>
      </c>
      <c r="C15" s="4"/>
      <c r="D15" s="4"/>
      <c r="E15" s="4"/>
      <c r="F15" s="32" t="s">
        <v>72</v>
      </c>
      <c r="G15" s="41">
        <v>636</v>
      </c>
      <c r="H15" s="4" t="s">
        <v>130</v>
      </c>
      <c r="I15" s="71">
        <v>700</v>
      </c>
      <c r="J15" s="71">
        <v>60</v>
      </c>
      <c r="K15" s="190">
        <f t="shared" si="0"/>
        <v>8.571428571428571</v>
      </c>
      <c r="L15" s="178"/>
      <c r="M15" s="71"/>
      <c r="N15" s="71"/>
      <c r="O15" s="189"/>
      <c r="P15" s="178"/>
      <c r="Q15" s="71">
        <f t="shared" si="1"/>
        <v>700</v>
      </c>
      <c r="R15" s="71">
        <f t="shared" si="2"/>
        <v>60</v>
      </c>
      <c r="S15" s="188">
        <f t="shared" si="3"/>
        <v>8.571428571428571</v>
      </c>
    </row>
    <row r="16" spans="2:19" ht="12.75">
      <c r="B16" s="28">
        <f t="shared" si="4"/>
        <v>9</v>
      </c>
      <c r="C16" s="4"/>
      <c r="D16" s="4"/>
      <c r="E16" s="4"/>
      <c r="F16" s="32" t="s">
        <v>72</v>
      </c>
      <c r="G16" s="41">
        <v>637</v>
      </c>
      <c r="H16" s="4" t="s">
        <v>126</v>
      </c>
      <c r="I16" s="71">
        <v>9600</v>
      </c>
      <c r="J16" s="71">
        <v>5850</v>
      </c>
      <c r="K16" s="190">
        <f t="shared" si="0"/>
        <v>60.9375</v>
      </c>
      <c r="L16" s="178"/>
      <c r="M16" s="71"/>
      <c r="N16" s="71"/>
      <c r="O16" s="189"/>
      <c r="P16" s="178"/>
      <c r="Q16" s="71">
        <f t="shared" si="1"/>
        <v>9600</v>
      </c>
      <c r="R16" s="71">
        <f t="shared" si="2"/>
        <v>5850</v>
      </c>
      <c r="S16" s="188">
        <f t="shared" si="3"/>
        <v>60.9375</v>
      </c>
    </row>
    <row r="17" spans="2:19" ht="12.75">
      <c r="B17" s="28">
        <f t="shared" si="4"/>
        <v>10</v>
      </c>
      <c r="C17" s="9"/>
      <c r="D17" s="9"/>
      <c r="E17" s="9"/>
      <c r="F17" s="31" t="s">
        <v>72</v>
      </c>
      <c r="G17" s="40">
        <v>640</v>
      </c>
      <c r="H17" s="9" t="s">
        <v>132</v>
      </c>
      <c r="I17" s="72">
        <f>I18</f>
        <v>24220</v>
      </c>
      <c r="J17" s="72">
        <f>J18</f>
        <v>0</v>
      </c>
      <c r="K17" s="190">
        <f t="shared" si="0"/>
        <v>0</v>
      </c>
      <c r="L17" s="177"/>
      <c r="M17" s="72"/>
      <c r="N17" s="72"/>
      <c r="O17" s="189"/>
      <c r="P17" s="177"/>
      <c r="Q17" s="72">
        <f t="shared" si="1"/>
        <v>24220</v>
      </c>
      <c r="R17" s="72">
        <f t="shared" si="2"/>
        <v>0</v>
      </c>
      <c r="S17" s="188">
        <f t="shared" si="3"/>
        <v>0</v>
      </c>
    </row>
    <row r="18" spans="2:19" ht="12.75">
      <c r="B18" s="28">
        <f t="shared" si="4"/>
        <v>11</v>
      </c>
      <c r="C18" s="4"/>
      <c r="D18" s="4"/>
      <c r="E18" s="4"/>
      <c r="F18" s="32" t="s">
        <v>72</v>
      </c>
      <c r="G18" s="41">
        <v>642</v>
      </c>
      <c r="H18" s="4" t="s">
        <v>133</v>
      </c>
      <c r="I18" s="71">
        <f>I19</f>
        <v>24220</v>
      </c>
      <c r="J18" s="71">
        <f>J19</f>
        <v>0</v>
      </c>
      <c r="K18" s="190">
        <f t="shared" si="0"/>
        <v>0</v>
      </c>
      <c r="L18" s="178"/>
      <c r="M18" s="71"/>
      <c r="N18" s="71"/>
      <c r="O18" s="189"/>
      <c r="P18" s="178"/>
      <c r="Q18" s="71">
        <f t="shared" si="1"/>
        <v>24220</v>
      </c>
      <c r="R18" s="71">
        <f t="shared" si="2"/>
        <v>0</v>
      </c>
      <c r="S18" s="188">
        <f t="shared" si="3"/>
        <v>0</v>
      </c>
    </row>
    <row r="19" spans="2:19" ht="12.75">
      <c r="B19" s="28">
        <f t="shared" si="4"/>
        <v>12</v>
      </c>
      <c r="C19" s="5"/>
      <c r="D19" s="5"/>
      <c r="E19" s="5"/>
      <c r="F19" s="33"/>
      <c r="G19" s="42"/>
      <c r="H19" s="5" t="s">
        <v>332</v>
      </c>
      <c r="I19" s="75">
        <f>40000-3000-3500-3000-6280</f>
        <v>24220</v>
      </c>
      <c r="J19" s="75">
        <v>0</v>
      </c>
      <c r="K19" s="190">
        <f t="shared" si="0"/>
        <v>0</v>
      </c>
      <c r="L19" s="99"/>
      <c r="M19" s="75"/>
      <c r="N19" s="75"/>
      <c r="O19" s="189"/>
      <c r="P19" s="99"/>
      <c r="Q19" s="75">
        <f t="shared" si="1"/>
        <v>24220</v>
      </c>
      <c r="R19" s="75">
        <f t="shared" si="2"/>
        <v>0</v>
      </c>
      <c r="S19" s="188">
        <f t="shared" si="3"/>
        <v>0</v>
      </c>
    </row>
    <row r="20" spans="2:19" ht="15">
      <c r="B20" s="28">
        <f t="shared" si="4"/>
        <v>13</v>
      </c>
      <c r="C20" s="2"/>
      <c r="D20" s="2">
        <v>2</v>
      </c>
      <c r="E20" s="284" t="s">
        <v>241</v>
      </c>
      <c r="F20" s="278"/>
      <c r="G20" s="278"/>
      <c r="H20" s="279"/>
      <c r="I20" s="80">
        <f>I21</f>
        <v>3000</v>
      </c>
      <c r="J20" s="80">
        <f>J21</f>
        <v>60</v>
      </c>
      <c r="K20" s="190">
        <f t="shared" si="0"/>
        <v>2</v>
      </c>
      <c r="L20" s="176"/>
      <c r="M20" s="80"/>
      <c r="N20" s="80"/>
      <c r="O20" s="189"/>
      <c r="P20" s="176"/>
      <c r="Q20" s="80">
        <f t="shared" si="1"/>
        <v>3000</v>
      </c>
      <c r="R20" s="80">
        <f t="shared" si="2"/>
        <v>60</v>
      </c>
      <c r="S20" s="188">
        <f t="shared" si="3"/>
        <v>2</v>
      </c>
    </row>
    <row r="21" spans="2:19" ht="12.75">
      <c r="B21" s="28">
        <f t="shared" si="4"/>
        <v>14</v>
      </c>
      <c r="C21" s="9"/>
      <c r="D21" s="9"/>
      <c r="E21" s="9"/>
      <c r="F21" s="31" t="s">
        <v>72</v>
      </c>
      <c r="G21" s="40">
        <v>630</v>
      </c>
      <c r="H21" s="9" t="s">
        <v>125</v>
      </c>
      <c r="I21" s="72">
        <f>I22</f>
        <v>3000</v>
      </c>
      <c r="J21" s="72">
        <f>J22</f>
        <v>60</v>
      </c>
      <c r="K21" s="190">
        <f t="shared" si="0"/>
        <v>2</v>
      </c>
      <c r="L21" s="177"/>
      <c r="M21" s="72"/>
      <c r="N21" s="72"/>
      <c r="O21" s="189"/>
      <c r="P21" s="177"/>
      <c r="Q21" s="72">
        <f t="shared" si="1"/>
        <v>3000</v>
      </c>
      <c r="R21" s="72">
        <f t="shared" si="2"/>
        <v>60</v>
      </c>
      <c r="S21" s="188">
        <f t="shared" si="3"/>
        <v>2</v>
      </c>
    </row>
    <row r="22" spans="2:19" ht="12.75">
      <c r="B22" s="28">
        <f t="shared" si="4"/>
        <v>15</v>
      </c>
      <c r="C22" s="4"/>
      <c r="D22" s="4"/>
      <c r="E22" s="4"/>
      <c r="F22" s="32" t="s">
        <v>72</v>
      </c>
      <c r="G22" s="41">
        <v>633</v>
      </c>
      <c r="H22" s="4" t="s">
        <v>129</v>
      </c>
      <c r="I22" s="71">
        <v>3000</v>
      </c>
      <c r="J22" s="71">
        <v>60</v>
      </c>
      <c r="K22" s="190">
        <f t="shared" si="0"/>
        <v>2</v>
      </c>
      <c r="L22" s="178"/>
      <c r="M22" s="71"/>
      <c r="N22" s="71"/>
      <c r="O22" s="189"/>
      <c r="P22" s="178"/>
      <c r="Q22" s="71">
        <f t="shared" si="1"/>
        <v>3000</v>
      </c>
      <c r="R22" s="71">
        <f t="shared" si="2"/>
        <v>60</v>
      </c>
      <c r="S22" s="188">
        <f t="shared" si="3"/>
        <v>2</v>
      </c>
    </row>
    <row r="23" spans="2:19" ht="15">
      <c r="B23" s="28">
        <f t="shared" si="4"/>
        <v>16</v>
      </c>
      <c r="C23" s="2"/>
      <c r="D23" s="2">
        <v>3</v>
      </c>
      <c r="E23" s="284" t="s">
        <v>242</v>
      </c>
      <c r="F23" s="278"/>
      <c r="G23" s="278"/>
      <c r="H23" s="279"/>
      <c r="I23" s="80">
        <f>I24</f>
        <v>20000</v>
      </c>
      <c r="J23" s="80">
        <f>J24</f>
        <v>261</v>
      </c>
      <c r="K23" s="190">
        <f t="shared" si="0"/>
        <v>1.3050000000000002</v>
      </c>
      <c r="L23" s="176"/>
      <c r="M23" s="80"/>
      <c r="N23" s="80"/>
      <c r="O23" s="189"/>
      <c r="P23" s="176"/>
      <c r="Q23" s="80">
        <f t="shared" si="1"/>
        <v>20000</v>
      </c>
      <c r="R23" s="80">
        <f t="shared" si="2"/>
        <v>261</v>
      </c>
      <c r="S23" s="188">
        <f t="shared" si="3"/>
        <v>1.3050000000000002</v>
      </c>
    </row>
    <row r="24" spans="2:19" ht="12.75">
      <c r="B24" s="28">
        <f t="shared" si="4"/>
        <v>17</v>
      </c>
      <c r="C24" s="9"/>
      <c r="D24" s="9"/>
      <c r="E24" s="9"/>
      <c r="F24" s="31" t="s">
        <v>72</v>
      </c>
      <c r="G24" s="40">
        <v>630</v>
      </c>
      <c r="H24" s="9" t="s">
        <v>125</v>
      </c>
      <c r="I24" s="72">
        <f>SUM(I25:I26)</f>
        <v>20000</v>
      </c>
      <c r="J24" s="72">
        <f>SUM(J25:J26)</f>
        <v>261</v>
      </c>
      <c r="K24" s="190">
        <f t="shared" si="0"/>
        <v>1.3050000000000002</v>
      </c>
      <c r="L24" s="177"/>
      <c r="M24" s="72"/>
      <c r="N24" s="72"/>
      <c r="O24" s="189"/>
      <c r="P24" s="177"/>
      <c r="Q24" s="72">
        <f t="shared" si="1"/>
        <v>20000</v>
      </c>
      <c r="R24" s="72">
        <f t="shared" si="2"/>
        <v>261</v>
      </c>
      <c r="S24" s="188">
        <f t="shared" si="3"/>
        <v>1.3050000000000002</v>
      </c>
    </row>
    <row r="25" spans="2:19" ht="12.75">
      <c r="B25" s="28">
        <f t="shared" si="4"/>
        <v>18</v>
      </c>
      <c r="C25" s="4"/>
      <c r="D25" s="4"/>
      <c r="E25" s="4"/>
      <c r="F25" s="32" t="s">
        <v>72</v>
      </c>
      <c r="G25" s="41">
        <v>633</v>
      </c>
      <c r="H25" s="4" t="s">
        <v>129</v>
      </c>
      <c r="I25" s="71">
        <v>2000</v>
      </c>
      <c r="J25" s="71">
        <v>261</v>
      </c>
      <c r="K25" s="190">
        <f t="shared" si="0"/>
        <v>13.05</v>
      </c>
      <c r="L25" s="178"/>
      <c r="M25" s="71"/>
      <c r="N25" s="71"/>
      <c r="O25" s="189"/>
      <c r="P25" s="178"/>
      <c r="Q25" s="71">
        <f t="shared" si="1"/>
        <v>2000</v>
      </c>
      <c r="R25" s="71">
        <f t="shared" si="2"/>
        <v>261</v>
      </c>
      <c r="S25" s="188">
        <f t="shared" si="3"/>
        <v>13.05</v>
      </c>
    </row>
    <row r="26" spans="2:19" ht="12.75">
      <c r="B26" s="28">
        <f t="shared" si="4"/>
        <v>19</v>
      </c>
      <c r="C26" s="4"/>
      <c r="D26" s="4"/>
      <c r="E26" s="4"/>
      <c r="F26" s="32" t="s">
        <v>72</v>
      </c>
      <c r="G26" s="41">
        <v>637</v>
      </c>
      <c r="H26" s="4" t="s">
        <v>126</v>
      </c>
      <c r="I26" s="71">
        <v>18000</v>
      </c>
      <c r="J26" s="71">
        <v>0</v>
      </c>
      <c r="K26" s="190">
        <f t="shared" si="0"/>
        <v>0</v>
      </c>
      <c r="L26" s="178"/>
      <c r="M26" s="71"/>
      <c r="N26" s="71"/>
      <c r="O26" s="189"/>
      <c r="P26" s="178"/>
      <c r="Q26" s="71">
        <f t="shared" si="1"/>
        <v>18000</v>
      </c>
      <c r="R26" s="71">
        <f t="shared" si="2"/>
        <v>0</v>
      </c>
      <c r="S26" s="188">
        <f t="shared" si="3"/>
        <v>0</v>
      </c>
    </row>
    <row r="27" spans="2:19" ht="15">
      <c r="B27" s="28">
        <f t="shared" si="4"/>
        <v>20</v>
      </c>
      <c r="C27" s="2"/>
      <c r="D27" s="2">
        <v>4</v>
      </c>
      <c r="E27" s="284" t="s">
        <v>197</v>
      </c>
      <c r="F27" s="278"/>
      <c r="G27" s="278"/>
      <c r="H27" s="279"/>
      <c r="I27" s="80">
        <f>I28+I29</f>
        <v>137580</v>
      </c>
      <c r="J27" s="80">
        <f>J28+J29</f>
        <v>64319</v>
      </c>
      <c r="K27" s="190">
        <f t="shared" si="0"/>
        <v>46.75025439744149</v>
      </c>
      <c r="L27" s="176"/>
      <c r="M27" s="80">
        <f>M33</f>
        <v>20000</v>
      </c>
      <c r="N27" s="80">
        <f>N33</f>
        <v>18218</v>
      </c>
      <c r="O27" s="189">
        <f>N27/M27*100</f>
        <v>91.09</v>
      </c>
      <c r="P27" s="176"/>
      <c r="Q27" s="80">
        <f t="shared" si="1"/>
        <v>157580</v>
      </c>
      <c r="R27" s="80">
        <f t="shared" si="2"/>
        <v>82537</v>
      </c>
      <c r="S27" s="188">
        <f t="shared" si="3"/>
        <v>52.37783982738926</v>
      </c>
    </row>
    <row r="28" spans="2:19" ht="12.75">
      <c r="B28" s="28">
        <f t="shared" si="4"/>
        <v>21</v>
      </c>
      <c r="C28" s="9"/>
      <c r="D28" s="9"/>
      <c r="E28" s="9"/>
      <c r="F28" s="31" t="s">
        <v>72</v>
      </c>
      <c r="G28" s="40">
        <v>620</v>
      </c>
      <c r="H28" s="9" t="s">
        <v>128</v>
      </c>
      <c r="I28" s="72">
        <v>30880</v>
      </c>
      <c r="J28" s="72">
        <v>14853</v>
      </c>
      <c r="K28" s="190">
        <f t="shared" si="0"/>
        <v>48.09909326424871</v>
      </c>
      <c r="L28" s="177"/>
      <c r="M28" s="72"/>
      <c r="N28" s="72"/>
      <c r="O28" s="189"/>
      <c r="P28" s="177"/>
      <c r="Q28" s="72">
        <f t="shared" si="1"/>
        <v>30880</v>
      </c>
      <c r="R28" s="72">
        <f t="shared" si="2"/>
        <v>14853</v>
      </c>
      <c r="S28" s="188">
        <f t="shared" si="3"/>
        <v>48.09909326424871</v>
      </c>
    </row>
    <row r="29" spans="2:19" ht="12.75">
      <c r="B29" s="28">
        <f t="shared" si="4"/>
        <v>22</v>
      </c>
      <c r="C29" s="9"/>
      <c r="D29" s="9"/>
      <c r="E29" s="9"/>
      <c r="F29" s="31" t="s">
        <v>72</v>
      </c>
      <c r="G29" s="40">
        <v>630</v>
      </c>
      <c r="H29" s="9" t="s">
        <v>125</v>
      </c>
      <c r="I29" s="72">
        <f>SUM(I30:I32)</f>
        <v>106700</v>
      </c>
      <c r="J29" s="72">
        <f>SUM(J30:J32)</f>
        <v>49466</v>
      </c>
      <c r="K29" s="190">
        <f t="shared" si="0"/>
        <v>46.35988753514527</v>
      </c>
      <c r="L29" s="177"/>
      <c r="M29" s="72"/>
      <c r="N29" s="72"/>
      <c r="O29" s="189"/>
      <c r="P29" s="177"/>
      <c r="Q29" s="72">
        <f t="shared" si="1"/>
        <v>106700</v>
      </c>
      <c r="R29" s="72">
        <f t="shared" si="2"/>
        <v>49466</v>
      </c>
      <c r="S29" s="188">
        <f t="shared" si="3"/>
        <v>46.35988753514527</v>
      </c>
    </row>
    <row r="30" spans="2:19" ht="12.75">
      <c r="B30" s="28">
        <f t="shared" si="4"/>
        <v>23</v>
      </c>
      <c r="C30" s="4"/>
      <c r="D30" s="4"/>
      <c r="E30" s="4"/>
      <c r="F30" s="32" t="s">
        <v>72</v>
      </c>
      <c r="G30" s="41">
        <v>632</v>
      </c>
      <c r="H30" s="4" t="s">
        <v>138</v>
      </c>
      <c r="I30" s="71">
        <v>13200</v>
      </c>
      <c r="J30" s="71">
        <v>4816</v>
      </c>
      <c r="K30" s="190">
        <f t="shared" si="0"/>
        <v>36.484848484848484</v>
      </c>
      <c r="L30" s="178"/>
      <c r="M30" s="71"/>
      <c r="N30" s="71"/>
      <c r="O30" s="189"/>
      <c r="P30" s="178"/>
      <c r="Q30" s="71">
        <f t="shared" si="1"/>
        <v>13200</v>
      </c>
      <c r="R30" s="71">
        <f t="shared" si="2"/>
        <v>4816</v>
      </c>
      <c r="S30" s="188">
        <f t="shared" si="3"/>
        <v>36.484848484848484</v>
      </c>
    </row>
    <row r="31" spans="2:19" ht="12.75">
      <c r="B31" s="28">
        <f t="shared" si="4"/>
        <v>24</v>
      </c>
      <c r="C31" s="4"/>
      <c r="D31" s="4"/>
      <c r="E31" s="4"/>
      <c r="F31" s="32" t="s">
        <v>72</v>
      </c>
      <c r="G31" s="41">
        <v>633</v>
      </c>
      <c r="H31" s="4" t="s">
        <v>129</v>
      </c>
      <c r="I31" s="71">
        <v>3000</v>
      </c>
      <c r="J31" s="71">
        <v>93</v>
      </c>
      <c r="K31" s="190">
        <f t="shared" si="0"/>
        <v>3.1</v>
      </c>
      <c r="L31" s="178"/>
      <c r="M31" s="71"/>
      <c r="N31" s="71"/>
      <c r="O31" s="189"/>
      <c r="P31" s="178"/>
      <c r="Q31" s="71">
        <f t="shared" si="1"/>
        <v>3000</v>
      </c>
      <c r="R31" s="71">
        <f t="shared" si="2"/>
        <v>93</v>
      </c>
      <c r="S31" s="188">
        <f t="shared" si="3"/>
        <v>3.1</v>
      </c>
    </row>
    <row r="32" spans="2:19" ht="12.75">
      <c r="B32" s="28">
        <f t="shared" si="4"/>
        <v>25</v>
      </c>
      <c r="C32" s="4"/>
      <c r="D32" s="22"/>
      <c r="E32" s="4"/>
      <c r="F32" s="32" t="s">
        <v>72</v>
      </c>
      <c r="G32" s="41">
        <v>637</v>
      </c>
      <c r="H32" s="4" t="s">
        <v>126</v>
      </c>
      <c r="I32" s="71">
        <v>90500</v>
      </c>
      <c r="J32" s="71">
        <v>44557</v>
      </c>
      <c r="K32" s="190">
        <f t="shared" si="0"/>
        <v>49.23425414364641</v>
      </c>
      <c r="L32" s="178"/>
      <c r="M32" s="71"/>
      <c r="N32" s="71"/>
      <c r="O32" s="189"/>
      <c r="P32" s="178"/>
      <c r="Q32" s="71">
        <f t="shared" si="1"/>
        <v>90500</v>
      </c>
      <c r="R32" s="71">
        <f t="shared" si="2"/>
        <v>44557</v>
      </c>
      <c r="S32" s="188">
        <f t="shared" si="3"/>
        <v>49.23425414364641</v>
      </c>
    </row>
    <row r="33" spans="2:19" ht="12.75">
      <c r="B33" s="28">
        <f t="shared" si="4"/>
        <v>26</v>
      </c>
      <c r="C33" s="4"/>
      <c r="D33" s="4"/>
      <c r="E33" s="4"/>
      <c r="F33" s="31" t="s">
        <v>72</v>
      </c>
      <c r="G33" s="40">
        <v>710</v>
      </c>
      <c r="H33" s="9" t="s">
        <v>180</v>
      </c>
      <c r="I33" s="72"/>
      <c r="J33" s="72"/>
      <c r="K33" s="190"/>
      <c r="L33" s="177"/>
      <c r="M33" s="72">
        <f>M34</f>
        <v>20000</v>
      </c>
      <c r="N33" s="72">
        <f>N34</f>
        <v>18218</v>
      </c>
      <c r="O33" s="189">
        <f>N33/M33*100</f>
        <v>91.09</v>
      </c>
      <c r="P33" s="177"/>
      <c r="Q33" s="72">
        <f t="shared" si="1"/>
        <v>20000</v>
      </c>
      <c r="R33" s="72">
        <f t="shared" si="2"/>
        <v>18218</v>
      </c>
      <c r="S33" s="188">
        <f t="shared" si="3"/>
        <v>91.09</v>
      </c>
    </row>
    <row r="34" spans="2:19" ht="12.75">
      <c r="B34" s="28">
        <f t="shared" si="4"/>
        <v>27</v>
      </c>
      <c r="C34" s="4"/>
      <c r="D34" s="4"/>
      <c r="E34" s="4"/>
      <c r="F34" s="32" t="s">
        <v>72</v>
      </c>
      <c r="G34" s="41">
        <v>718</v>
      </c>
      <c r="H34" s="4" t="s">
        <v>79</v>
      </c>
      <c r="I34" s="71"/>
      <c r="J34" s="71"/>
      <c r="K34" s="190"/>
      <c r="L34" s="178"/>
      <c r="M34" s="71">
        <f>M35</f>
        <v>20000</v>
      </c>
      <c r="N34" s="71">
        <f>N35</f>
        <v>18218</v>
      </c>
      <c r="O34" s="189">
        <f>N34/M34*100</f>
        <v>91.09</v>
      </c>
      <c r="P34" s="178"/>
      <c r="Q34" s="71">
        <f t="shared" si="1"/>
        <v>20000</v>
      </c>
      <c r="R34" s="71">
        <f t="shared" si="2"/>
        <v>18218</v>
      </c>
      <c r="S34" s="188">
        <f t="shared" si="3"/>
        <v>91.09</v>
      </c>
    </row>
    <row r="35" spans="2:19" ht="12.75">
      <c r="B35" s="28">
        <f t="shared" si="4"/>
        <v>28</v>
      </c>
      <c r="C35" s="4"/>
      <c r="D35" s="4"/>
      <c r="E35" s="4"/>
      <c r="F35" s="33"/>
      <c r="G35" s="42"/>
      <c r="H35" s="5" t="s">
        <v>507</v>
      </c>
      <c r="I35" s="75"/>
      <c r="J35" s="75"/>
      <c r="K35" s="190"/>
      <c r="L35" s="99"/>
      <c r="M35" s="75">
        <v>20000</v>
      </c>
      <c r="N35" s="75">
        <v>18218</v>
      </c>
      <c r="O35" s="189">
        <f>N35/M35*100</f>
        <v>91.09</v>
      </c>
      <c r="P35" s="99"/>
      <c r="Q35" s="75">
        <f t="shared" si="1"/>
        <v>20000</v>
      </c>
      <c r="R35" s="75">
        <f t="shared" si="2"/>
        <v>18218</v>
      </c>
      <c r="S35" s="188">
        <f t="shared" si="3"/>
        <v>91.09</v>
      </c>
    </row>
    <row r="36" spans="2:19" ht="15">
      <c r="B36" s="28">
        <f t="shared" si="4"/>
        <v>29</v>
      </c>
      <c r="C36" s="7">
        <v>2</v>
      </c>
      <c r="D36" s="277" t="s">
        <v>211</v>
      </c>
      <c r="E36" s="278"/>
      <c r="F36" s="278"/>
      <c r="G36" s="278"/>
      <c r="H36" s="279"/>
      <c r="I36" s="79">
        <f>I37+I38</f>
        <v>175300</v>
      </c>
      <c r="J36" s="79">
        <f>J37+J38</f>
        <v>33408</v>
      </c>
      <c r="K36" s="190">
        <f t="shared" si="0"/>
        <v>19.057615516257844</v>
      </c>
      <c r="L36" s="175"/>
      <c r="M36" s="79">
        <f>M43</f>
        <v>131600</v>
      </c>
      <c r="N36" s="79">
        <f>N43</f>
        <v>14040</v>
      </c>
      <c r="O36" s="189">
        <f>N36/M36*100</f>
        <v>10.66869300911854</v>
      </c>
      <c r="P36" s="175"/>
      <c r="Q36" s="79">
        <f t="shared" si="1"/>
        <v>306900</v>
      </c>
      <c r="R36" s="79">
        <f t="shared" si="2"/>
        <v>47448</v>
      </c>
      <c r="S36" s="188">
        <f t="shared" si="3"/>
        <v>15.460410557184751</v>
      </c>
    </row>
    <row r="37" spans="2:19" ht="12.75">
      <c r="B37" s="28">
        <f t="shared" si="4"/>
        <v>30</v>
      </c>
      <c r="C37" s="9"/>
      <c r="D37" s="9"/>
      <c r="E37" s="9"/>
      <c r="F37" s="31" t="s">
        <v>210</v>
      </c>
      <c r="G37" s="40">
        <v>620</v>
      </c>
      <c r="H37" s="9" t="s">
        <v>128</v>
      </c>
      <c r="I37" s="72">
        <v>2000</v>
      </c>
      <c r="J37" s="72">
        <v>0</v>
      </c>
      <c r="K37" s="190">
        <f t="shared" si="0"/>
        <v>0</v>
      </c>
      <c r="L37" s="177"/>
      <c r="M37" s="72"/>
      <c r="N37" s="72"/>
      <c r="O37" s="189"/>
      <c r="P37" s="177"/>
      <c r="Q37" s="72">
        <f t="shared" si="1"/>
        <v>2000</v>
      </c>
      <c r="R37" s="72">
        <f t="shared" si="2"/>
        <v>0</v>
      </c>
      <c r="S37" s="188">
        <f t="shared" si="3"/>
        <v>0</v>
      </c>
    </row>
    <row r="38" spans="2:19" ht="12.75">
      <c r="B38" s="28">
        <f t="shared" si="4"/>
        <v>31</v>
      </c>
      <c r="C38" s="9"/>
      <c r="D38" s="9"/>
      <c r="E38" s="9"/>
      <c r="F38" s="31" t="s">
        <v>210</v>
      </c>
      <c r="G38" s="40">
        <v>630</v>
      </c>
      <c r="H38" s="9" t="s">
        <v>125</v>
      </c>
      <c r="I38" s="72">
        <f>SUM(I39:I42)</f>
        <v>173300</v>
      </c>
      <c r="J38" s="72">
        <f>SUM(J39:J42)</f>
        <v>33408</v>
      </c>
      <c r="K38" s="190">
        <f t="shared" si="0"/>
        <v>19.277553375649166</v>
      </c>
      <c r="L38" s="177"/>
      <c r="M38" s="72"/>
      <c r="N38" s="72"/>
      <c r="O38" s="189"/>
      <c r="P38" s="177"/>
      <c r="Q38" s="72">
        <f t="shared" si="1"/>
        <v>173300</v>
      </c>
      <c r="R38" s="72">
        <f t="shared" si="2"/>
        <v>33408</v>
      </c>
      <c r="S38" s="188">
        <f t="shared" si="3"/>
        <v>19.277553375649166</v>
      </c>
    </row>
    <row r="39" spans="2:19" ht="12.75">
      <c r="B39" s="28">
        <f t="shared" si="4"/>
        <v>32</v>
      </c>
      <c r="C39" s="4"/>
      <c r="D39" s="4"/>
      <c r="E39" s="4"/>
      <c r="F39" s="32" t="s">
        <v>210</v>
      </c>
      <c r="G39" s="41">
        <v>631</v>
      </c>
      <c r="H39" s="4" t="s">
        <v>131</v>
      </c>
      <c r="I39" s="71">
        <v>500</v>
      </c>
      <c r="J39" s="71">
        <v>0</v>
      </c>
      <c r="K39" s="190">
        <f t="shared" si="0"/>
        <v>0</v>
      </c>
      <c r="L39" s="178"/>
      <c r="M39" s="71"/>
      <c r="N39" s="71"/>
      <c r="O39" s="189"/>
      <c r="P39" s="178"/>
      <c r="Q39" s="71">
        <f t="shared" si="1"/>
        <v>500</v>
      </c>
      <c r="R39" s="71">
        <f t="shared" si="2"/>
        <v>0</v>
      </c>
      <c r="S39" s="188">
        <f t="shared" si="3"/>
        <v>0</v>
      </c>
    </row>
    <row r="40" spans="2:19" ht="12.75">
      <c r="B40" s="28">
        <f t="shared" si="4"/>
        <v>33</v>
      </c>
      <c r="C40" s="4"/>
      <c r="D40" s="4"/>
      <c r="E40" s="4"/>
      <c r="F40" s="32" t="s">
        <v>210</v>
      </c>
      <c r="G40" s="41">
        <v>633</v>
      </c>
      <c r="H40" s="4" t="s">
        <v>129</v>
      </c>
      <c r="I40" s="71">
        <v>4500</v>
      </c>
      <c r="J40" s="71">
        <v>2179</v>
      </c>
      <c r="K40" s="190">
        <f t="shared" si="0"/>
        <v>48.422222222222224</v>
      </c>
      <c r="L40" s="178"/>
      <c r="M40" s="71"/>
      <c r="N40" s="71"/>
      <c r="O40" s="189"/>
      <c r="P40" s="178"/>
      <c r="Q40" s="71">
        <f t="shared" si="1"/>
        <v>4500</v>
      </c>
      <c r="R40" s="71">
        <f t="shared" si="2"/>
        <v>2179</v>
      </c>
      <c r="S40" s="188">
        <f t="shared" si="3"/>
        <v>48.422222222222224</v>
      </c>
    </row>
    <row r="41" spans="2:19" ht="12.75">
      <c r="B41" s="28">
        <f t="shared" si="4"/>
        <v>34</v>
      </c>
      <c r="C41" s="4"/>
      <c r="D41" s="4"/>
      <c r="E41" s="4"/>
      <c r="F41" s="32" t="s">
        <v>210</v>
      </c>
      <c r="G41" s="41">
        <v>635</v>
      </c>
      <c r="H41" s="4" t="s">
        <v>136</v>
      </c>
      <c r="I41" s="71">
        <f>6000+2000</f>
        <v>8000</v>
      </c>
      <c r="J41" s="71">
        <v>1428</v>
      </c>
      <c r="K41" s="190">
        <f t="shared" si="0"/>
        <v>17.849999999999998</v>
      </c>
      <c r="L41" s="178"/>
      <c r="M41" s="71"/>
      <c r="N41" s="71"/>
      <c r="O41" s="189"/>
      <c r="P41" s="178"/>
      <c r="Q41" s="71">
        <f t="shared" si="1"/>
        <v>8000</v>
      </c>
      <c r="R41" s="71">
        <f t="shared" si="2"/>
        <v>1428</v>
      </c>
      <c r="S41" s="188">
        <f t="shared" si="3"/>
        <v>17.849999999999998</v>
      </c>
    </row>
    <row r="42" spans="2:19" ht="12.75">
      <c r="B42" s="28">
        <f t="shared" si="4"/>
        <v>35</v>
      </c>
      <c r="C42" s="4"/>
      <c r="D42" s="4"/>
      <c r="E42" s="4"/>
      <c r="F42" s="32" t="s">
        <v>210</v>
      </c>
      <c r="G42" s="41">
        <v>637</v>
      </c>
      <c r="H42" s="4" t="s">
        <v>126</v>
      </c>
      <c r="I42" s="71">
        <f>181300-2000-19000</f>
        <v>160300</v>
      </c>
      <c r="J42" s="71">
        <v>29801</v>
      </c>
      <c r="K42" s="190">
        <f t="shared" si="0"/>
        <v>18.59076731129133</v>
      </c>
      <c r="L42" s="178"/>
      <c r="M42" s="71"/>
      <c r="N42" s="71"/>
      <c r="O42" s="189"/>
      <c r="P42" s="178"/>
      <c r="Q42" s="71">
        <f t="shared" si="1"/>
        <v>160300</v>
      </c>
      <c r="R42" s="71">
        <f t="shared" si="2"/>
        <v>29801</v>
      </c>
      <c r="S42" s="188">
        <f t="shared" si="3"/>
        <v>18.59076731129133</v>
      </c>
    </row>
    <row r="43" spans="2:19" ht="12.75">
      <c r="B43" s="28">
        <f t="shared" si="4"/>
        <v>36</v>
      </c>
      <c r="C43" s="9"/>
      <c r="D43" s="9"/>
      <c r="E43" s="9"/>
      <c r="F43" s="31" t="s">
        <v>210</v>
      </c>
      <c r="G43" s="40">
        <v>710</v>
      </c>
      <c r="H43" s="9" t="s">
        <v>180</v>
      </c>
      <c r="I43" s="72"/>
      <c r="J43" s="72"/>
      <c r="K43" s="190"/>
      <c r="L43" s="177"/>
      <c r="M43" s="72">
        <f>M44+M46+M48</f>
        <v>131600</v>
      </c>
      <c r="N43" s="72">
        <f>N44+N46+N48</f>
        <v>14040</v>
      </c>
      <c r="O43" s="189">
        <f aca="true" t="shared" si="5" ref="O43:O51">N43/M43*100</f>
        <v>10.66869300911854</v>
      </c>
      <c r="P43" s="177"/>
      <c r="Q43" s="72">
        <f t="shared" si="1"/>
        <v>131600</v>
      </c>
      <c r="R43" s="72">
        <f t="shared" si="2"/>
        <v>14040</v>
      </c>
      <c r="S43" s="188">
        <f t="shared" si="3"/>
        <v>10.66869300911854</v>
      </c>
    </row>
    <row r="44" spans="2:19" ht="12.75">
      <c r="B44" s="28">
        <f t="shared" si="4"/>
        <v>37</v>
      </c>
      <c r="C44" s="4"/>
      <c r="D44" s="4"/>
      <c r="E44" s="4"/>
      <c r="F44" s="32" t="s">
        <v>210</v>
      </c>
      <c r="G44" s="41">
        <v>711</v>
      </c>
      <c r="H44" s="4" t="s">
        <v>218</v>
      </c>
      <c r="I44" s="71"/>
      <c r="J44" s="71"/>
      <c r="K44" s="190"/>
      <c r="L44" s="178"/>
      <c r="M44" s="71">
        <f>M45</f>
        <v>40000</v>
      </c>
      <c r="N44" s="71">
        <f>N45</f>
        <v>5880</v>
      </c>
      <c r="O44" s="189">
        <f t="shared" si="5"/>
        <v>14.7</v>
      </c>
      <c r="P44" s="178"/>
      <c r="Q44" s="71">
        <f t="shared" si="1"/>
        <v>40000</v>
      </c>
      <c r="R44" s="71">
        <f t="shared" si="2"/>
        <v>5880</v>
      </c>
      <c r="S44" s="188">
        <f t="shared" si="3"/>
        <v>14.7</v>
      </c>
    </row>
    <row r="45" spans="2:19" ht="12.75">
      <c r="B45" s="28">
        <f t="shared" si="4"/>
        <v>38</v>
      </c>
      <c r="C45" s="5"/>
      <c r="D45" s="5"/>
      <c r="E45" s="5"/>
      <c r="F45" s="33"/>
      <c r="G45" s="42"/>
      <c r="H45" s="5" t="s">
        <v>333</v>
      </c>
      <c r="I45" s="75"/>
      <c r="J45" s="75"/>
      <c r="K45" s="190"/>
      <c r="L45" s="99"/>
      <c r="M45" s="75">
        <v>40000</v>
      </c>
      <c r="N45" s="75">
        <v>5880</v>
      </c>
      <c r="O45" s="189">
        <f t="shared" si="5"/>
        <v>14.7</v>
      </c>
      <c r="P45" s="99"/>
      <c r="Q45" s="75">
        <f t="shared" si="1"/>
        <v>40000</v>
      </c>
      <c r="R45" s="75">
        <f t="shared" si="2"/>
        <v>5880</v>
      </c>
      <c r="S45" s="188">
        <f t="shared" si="3"/>
        <v>14.7</v>
      </c>
    </row>
    <row r="46" spans="2:19" ht="12.75">
      <c r="B46" s="28">
        <f t="shared" si="4"/>
        <v>39</v>
      </c>
      <c r="C46" s="4"/>
      <c r="D46" s="4"/>
      <c r="E46" s="4"/>
      <c r="F46" s="32" t="s">
        <v>210</v>
      </c>
      <c r="G46" s="41">
        <v>713</v>
      </c>
      <c r="H46" s="4" t="s">
        <v>228</v>
      </c>
      <c r="I46" s="71"/>
      <c r="J46" s="71"/>
      <c r="K46" s="190"/>
      <c r="L46" s="178"/>
      <c r="M46" s="71">
        <f>M47</f>
        <v>2000</v>
      </c>
      <c r="N46" s="71">
        <f>N47</f>
        <v>0</v>
      </c>
      <c r="O46" s="189">
        <f t="shared" si="5"/>
        <v>0</v>
      </c>
      <c r="P46" s="178"/>
      <c r="Q46" s="71">
        <f t="shared" si="1"/>
        <v>2000</v>
      </c>
      <c r="R46" s="71">
        <f t="shared" si="2"/>
        <v>0</v>
      </c>
      <c r="S46" s="188">
        <f t="shared" si="3"/>
        <v>0</v>
      </c>
    </row>
    <row r="47" spans="2:19" ht="12.75">
      <c r="B47" s="28">
        <f t="shared" si="4"/>
        <v>40</v>
      </c>
      <c r="C47" s="5"/>
      <c r="D47" s="5"/>
      <c r="E47" s="5"/>
      <c r="F47" s="33"/>
      <c r="G47" s="42"/>
      <c r="H47" s="5" t="s">
        <v>334</v>
      </c>
      <c r="I47" s="75"/>
      <c r="J47" s="75"/>
      <c r="K47" s="190"/>
      <c r="L47" s="99"/>
      <c r="M47" s="75">
        <v>2000</v>
      </c>
      <c r="N47" s="75">
        <v>0</v>
      </c>
      <c r="O47" s="189">
        <f t="shared" si="5"/>
        <v>0</v>
      </c>
      <c r="P47" s="99"/>
      <c r="Q47" s="75">
        <f t="shared" si="1"/>
        <v>2000</v>
      </c>
      <c r="R47" s="75">
        <f t="shared" si="2"/>
        <v>0</v>
      </c>
      <c r="S47" s="188">
        <f t="shared" si="3"/>
        <v>0</v>
      </c>
    </row>
    <row r="48" spans="2:19" ht="12.75">
      <c r="B48" s="28">
        <f t="shared" si="4"/>
        <v>41</v>
      </c>
      <c r="C48" s="4"/>
      <c r="D48" s="4"/>
      <c r="E48" s="4"/>
      <c r="F48" s="32" t="s">
        <v>210</v>
      </c>
      <c r="G48" s="41">
        <v>716</v>
      </c>
      <c r="H48" s="4" t="s">
        <v>225</v>
      </c>
      <c r="I48" s="71"/>
      <c r="J48" s="71"/>
      <c r="K48" s="190"/>
      <c r="L48" s="178"/>
      <c r="M48" s="71">
        <f>SUM(M49:M50)</f>
        <v>89600</v>
      </c>
      <c r="N48" s="71">
        <f>SUM(N49:N50)</f>
        <v>8160</v>
      </c>
      <c r="O48" s="189">
        <f t="shared" si="5"/>
        <v>9.107142857142856</v>
      </c>
      <c r="P48" s="178"/>
      <c r="Q48" s="71">
        <f t="shared" si="1"/>
        <v>89600</v>
      </c>
      <c r="R48" s="71">
        <f t="shared" si="2"/>
        <v>8160</v>
      </c>
      <c r="S48" s="188">
        <f t="shared" si="3"/>
        <v>9.107142857142856</v>
      </c>
    </row>
    <row r="49" spans="2:19" ht="12.75">
      <c r="B49" s="28">
        <f t="shared" si="4"/>
        <v>42</v>
      </c>
      <c r="C49" s="5"/>
      <c r="D49" s="5"/>
      <c r="E49" s="5"/>
      <c r="F49" s="33"/>
      <c r="G49" s="42"/>
      <c r="H49" s="5" t="s">
        <v>335</v>
      </c>
      <c r="I49" s="75"/>
      <c r="J49" s="75"/>
      <c r="K49" s="190"/>
      <c r="L49" s="99"/>
      <c r="M49" s="75">
        <f>35000+7500-34500</f>
        <v>8000</v>
      </c>
      <c r="N49" s="75">
        <v>0</v>
      </c>
      <c r="O49" s="189">
        <f t="shared" si="5"/>
        <v>0</v>
      </c>
      <c r="P49" s="99"/>
      <c r="Q49" s="75">
        <f t="shared" si="1"/>
        <v>8000</v>
      </c>
      <c r="R49" s="75">
        <f t="shared" si="2"/>
        <v>0</v>
      </c>
      <c r="S49" s="188">
        <f t="shared" si="3"/>
        <v>0</v>
      </c>
    </row>
    <row r="50" spans="2:19" ht="12.75">
      <c r="B50" s="28">
        <f t="shared" si="4"/>
        <v>43</v>
      </c>
      <c r="C50" s="5"/>
      <c r="D50" s="23"/>
      <c r="E50" s="5"/>
      <c r="F50" s="33"/>
      <c r="G50" s="42"/>
      <c r="H50" s="24" t="s">
        <v>506</v>
      </c>
      <c r="I50" s="75"/>
      <c r="J50" s="75"/>
      <c r="K50" s="190"/>
      <c r="L50" s="99"/>
      <c r="M50" s="75">
        <v>81600</v>
      </c>
      <c r="N50" s="75">
        <v>8160</v>
      </c>
      <c r="O50" s="189">
        <f t="shared" si="5"/>
        <v>10</v>
      </c>
      <c r="P50" s="99"/>
      <c r="Q50" s="75">
        <f t="shared" si="1"/>
        <v>81600</v>
      </c>
      <c r="R50" s="75">
        <f t="shared" si="2"/>
        <v>8160</v>
      </c>
      <c r="S50" s="188">
        <f t="shared" si="3"/>
        <v>10</v>
      </c>
    </row>
    <row r="51" spans="2:19" ht="15">
      <c r="B51" s="28">
        <f t="shared" si="4"/>
        <v>44</v>
      </c>
      <c r="C51" s="7">
        <v>3</v>
      </c>
      <c r="D51" s="277" t="s">
        <v>140</v>
      </c>
      <c r="E51" s="278"/>
      <c r="F51" s="278"/>
      <c r="G51" s="278"/>
      <c r="H51" s="279"/>
      <c r="I51" s="79">
        <f>I52</f>
        <v>118000</v>
      </c>
      <c r="J51" s="79">
        <f>J52</f>
        <v>11941</v>
      </c>
      <c r="K51" s="190">
        <f t="shared" si="0"/>
        <v>10.11949152542373</v>
      </c>
      <c r="L51" s="175"/>
      <c r="M51" s="79">
        <f>M54</f>
        <v>455730</v>
      </c>
      <c r="N51" s="79">
        <f>N54</f>
        <v>700</v>
      </c>
      <c r="O51" s="189">
        <f t="shared" si="5"/>
        <v>0.15359971913194215</v>
      </c>
      <c r="P51" s="175"/>
      <c r="Q51" s="79">
        <f aca="true" t="shared" si="6" ref="Q51:Q73">I51+M51</f>
        <v>573730</v>
      </c>
      <c r="R51" s="79">
        <f t="shared" si="2"/>
        <v>12641</v>
      </c>
      <c r="S51" s="188">
        <f t="shared" si="3"/>
        <v>2.2033012043992817</v>
      </c>
    </row>
    <row r="52" spans="2:19" ht="12.75">
      <c r="B52" s="28">
        <f t="shared" si="4"/>
        <v>45</v>
      </c>
      <c r="C52" s="9"/>
      <c r="D52" s="9"/>
      <c r="E52" s="9"/>
      <c r="F52" s="31" t="s">
        <v>72</v>
      </c>
      <c r="G52" s="40">
        <v>630</v>
      </c>
      <c r="H52" s="9" t="s">
        <v>125</v>
      </c>
      <c r="I52" s="72">
        <f>I53</f>
        <v>118000</v>
      </c>
      <c r="J52" s="72">
        <f>J53</f>
        <v>11941</v>
      </c>
      <c r="K52" s="190">
        <f t="shared" si="0"/>
        <v>10.11949152542373</v>
      </c>
      <c r="L52" s="177"/>
      <c r="M52" s="72"/>
      <c r="N52" s="72"/>
      <c r="O52" s="189"/>
      <c r="P52" s="177"/>
      <c r="Q52" s="72">
        <f t="shared" si="6"/>
        <v>118000</v>
      </c>
      <c r="R52" s="72">
        <f t="shared" si="2"/>
        <v>11941</v>
      </c>
      <c r="S52" s="188">
        <f t="shared" si="3"/>
        <v>10.11949152542373</v>
      </c>
    </row>
    <row r="53" spans="2:19" ht="12.75">
      <c r="B53" s="28">
        <f t="shared" si="4"/>
        <v>46</v>
      </c>
      <c r="C53" s="4"/>
      <c r="D53" s="4"/>
      <c r="E53" s="4"/>
      <c r="F53" s="32" t="s">
        <v>72</v>
      </c>
      <c r="G53" s="41">
        <v>637</v>
      </c>
      <c r="H53" s="4" t="s">
        <v>126</v>
      </c>
      <c r="I53" s="71">
        <f>130000-12000</f>
        <v>118000</v>
      </c>
      <c r="J53" s="71">
        <v>11941</v>
      </c>
      <c r="K53" s="190">
        <f t="shared" si="0"/>
        <v>10.11949152542373</v>
      </c>
      <c r="L53" s="178"/>
      <c r="M53" s="71"/>
      <c r="N53" s="71"/>
      <c r="O53" s="189"/>
      <c r="P53" s="178"/>
      <c r="Q53" s="71">
        <f t="shared" si="6"/>
        <v>118000</v>
      </c>
      <c r="R53" s="71">
        <f t="shared" si="2"/>
        <v>11941</v>
      </c>
      <c r="S53" s="188">
        <f t="shared" si="3"/>
        <v>10.11949152542373</v>
      </c>
    </row>
    <row r="54" spans="2:19" ht="12.75">
      <c r="B54" s="28">
        <f t="shared" si="4"/>
        <v>47</v>
      </c>
      <c r="C54" s="9"/>
      <c r="D54" s="9"/>
      <c r="E54" s="9"/>
      <c r="F54" s="31" t="s">
        <v>72</v>
      </c>
      <c r="G54" s="40">
        <v>710</v>
      </c>
      <c r="H54" s="9" t="s">
        <v>180</v>
      </c>
      <c r="I54" s="72"/>
      <c r="J54" s="72"/>
      <c r="K54" s="190"/>
      <c r="L54" s="177"/>
      <c r="M54" s="72">
        <f>M55+M57</f>
        <v>455730</v>
      </c>
      <c r="N54" s="72">
        <f>N55+N57</f>
        <v>700</v>
      </c>
      <c r="O54" s="189">
        <f>N54/M54*100</f>
        <v>0.15359971913194215</v>
      </c>
      <c r="P54" s="177"/>
      <c r="Q54" s="72">
        <f t="shared" si="6"/>
        <v>455730</v>
      </c>
      <c r="R54" s="72">
        <f t="shared" si="2"/>
        <v>700</v>
      </c>
      <c r="S54" s="188">
        <f t="shared" si="3"/>
        <v>0.15359971913194215</v>
      </c>
    </row>
    <row r="55" spans="2:19" ht="12.75">
      <c r="B55" s="28">
        <f t="shared" si="4"/>
        <v>48</v>
      </c>
      <c r="C55" s="4"/>
      <c r="D55" s="4"/>
      <c r="E55" s="4"/>
      <c r="F55" s="32" t="s">
        <v>72</v>
      </c>
      <c r="G55" s="41">
        <v>716</v>
      </c>
      <c r="H55" s="4" t="s">
        <v>225</v>
      </c>
      <c r="I55" s="71"/>
      <c r="J55" s="71"/>
      <c r="K55" s="190"/>
      <c r="L55" s="178"/>
      <c r="M55" s="71">
        <f>M56</f>
        <v>183400</v>
      </c>
      <c r="N55" s="71">
        <f>N56</f>
        <v>700</v>
      </c>
      <c r="O55" s="189">
        <f>N55/M55*100</f>
        <v>0.38167938931297707</v>
      </c>
      <c r="P55" s="178"/>
      <c r="Q55" s="71">
        <f t="shared" si="6"/>
        <v>183400</v>
      </c>
      <c r="R55" s="71">
        <f t="shared" si="2"/>
        <v>700</v>
      </c>
      <c r="S55" s="188">
        <f t="shared" si="3"/>
        <v>0.38167938931297707</v>
      </c>
    </row>
    <row r="56" spans="2:19" ht="12.75">
      <c r="B56" s="28">
        <f t="shared" si="4"/>
        <v>49</v>
      </c>
      <c r="C56" s="5"/>
      <c r="D56" s="5"/>
      <c r="E56" s="5"/>
      <c r="F56" s="33"/>
      <c r="G56" s="42"/>
      <c r="H56" s="5" t="s">
        <v>336</v>
      </c>
      <c r="I56" s="75"/>
      <c r="J56" s="75"/>
      <c r="K56" s="190"/>
      <c r="L56" s="99"/>
      <c r="M56" s="75">
        <f>200000-5500-700-3500-6900</f>
        <v>183400</v>
      </c>
      <c r="N56" s="75">
        <v>700</v>
      </c>
      <c r="O56" s="189">
        <f>N56/M56*100</f>
        <v>0.38167938931297707</v>
      </c>
      <c r="P56" s="99"/>
      <c r="Q56" s="75">
        <f t="shared" si="6"/>
        <v>183400</v>
      </c>
      <c r="R56" s="75">
        <f t="shared" si="2"/>
        <v>700</v>
      </c>
      <c r="S56" s="188">
        <f t="shared" si="3"/>
        <v>0.38167938931297707</v>
      </c>
    </row>
    <row r="57" spans="2:19" ht="12.75">
      <c r="B57" s="28">
        <f t="shared" si="4"/>
        <v>50</v>
      </c>
      <c r="C57" s="4"/>
      <c r="D57" s="4"/>
      <c r="E57" s="4"/>
      <c r="F57" s="32" t="s">
        <v>72</v>
      </c>
      <c r="G57" s="41">
        <v>717</v>
      </c>
      <c r="H57" s="4" t="s">
        <v>190</v>
      </c>
      <c r="I57" s="71"/>
      <c r="J57" s="71"/>
      <c r="K57" s="190"/>
      <c r="L57" s="178"/>
      <c r="M57" s="71">
        <f>M58</f>
        <v>272330</v>
      </c>
      <c r="N57" s="71">
        <f>N58</f>
        <v>0</v>
      </c>
      <c r="O57" s="189">
        <f>N57/M57*100</f>
        <v>0</v>
      </c>
      <c r="P57" s="178"/>
      <c r="Q57" s="71">
        <f t="shared" si="6"/>
        <v>272330</v>
      </c>
      <c r="R57" s="71">
        <f t="shared" si="2"/>
        <v>0</v>
      </c>
      <c r="S57" s="188">
        <f t="shared" si="3"/>
        <v>0</v>
      </c>
    </row>
    <row r="58" spans="2:19" ht="12.75">
      <c r="B58" s="28">
        <f t="shared" si="4"/>
        <v>51</v>
      </c>
      <c r="C58" s="5"/>
      <c r="D58" s="5"/>
      <c r="E58" s="5"/>
      <c r="F58" s="33"/>
      <c r="G58" s="42"/>
      <c r="H58" s="5" t="s">
        <v>77</v>
      </c>
      <c r="I58" s="75"/>
      <c r="J58" s="75"/>
      <c r="K58" s="190"/>
      <c r="L58" s="99"/>
      <c r="M58" s="75">
        <f>300000-18000-9670</f>
        <v>272330</v>
      </c>
      <c r="N58" s="75">
        <v>0</v>
      </c>
      <c r="O58" s="189">
        <f>N58/M58*100</f>
        <v>0</v>
      </c>
      <c r="P58" s="99"/>
      <c r="Q58" s="75">
        <f t="shared" si="6"/>
        <v>272330</v>
      </c>
      <c r="R58" s="75">
        <f t="shared" si="2"/>
        <v>0</v>
      </c>
      <c r="S58" s="188">
        <f t="shared" si="3"/>
        <v>0</v>
      </c>
    </row>
    <row r="59" spans="2:19" ht="15">
      <c r="B59" s="28">
        <f t="shared" si="4"/>
        <v>52</v>
      </c>
      <c r="C59" s="7">
        <v>4</v>
      </c>
      <c r="D59" s="277" t="s">
        <v>361</v>
      </c>
      <c r="E59" s="292"/>
      <c r="F59" s="292"/>
      <c r="G59" s="292"/>
      <c r="H59" s="293"/>
      <c r="I59" s="79">
        <v>0</v>
      </c>
      <c r="J59" s="79">
        <v>0</v>
      </c>
      <c r="K59" s="190"/>
      <c r="L59" s="175"/>
      <c r="M59" s="79">
        <v>0</v>
      </c>
      <c r="N59" s="79"/>
      <c r="O59" s="189"/>
      <c r="P59" s="175"/>
      <c r="Q59" s="79">
        <f t="shared" si="6"/>
        <v>0</v>
      </c>
      <c r="R59" s="79">
        <f t="shared" si="2"/>
        <v>0</v>
      </c>
      <c r="S59" s="188">
        <v>0</v>
      </c>
    </row>
    <row r="60" spans="2:19" ht="15">
      <c r="B60" s="28">
        <f t="shared" si="4"/>
        <v>53</v>
      </c>
      <c r="C60" s="7">
        <v>5</v>
      </c>
      <c r="D60" s="277" t="s">
        <v>362</v>
      </c>
      <c r="E60" s="278"/>
      <c r="F60" s="278"/>
      <c r="G60" s="278"/>
      <c r="H60" s="279"/>
      <c r="I60" s="79">
        <v>0</v>
      </c>
      <c r="J60" s="79">
        <v>0</v>
      </c>
      <c r="K60" s="190"/>
      <c r="L60" s="175"/>
      <c r="M60" s="79">
        <v>0</v>
      </c>
      <c r="N60" s="79"/>
      <c r="O60" s="189"/>
      <c r="P60" s="175"/>
      <c r="Q60" s="79">
        <f t="shared" si="6"/>
        <v>0</v>
      </c>
      <c r="R60" s="79">
        <f t="shared" si="2"/>
        <v>0</v>
      </c>
      <c r="S60" s="188">
        <v>0</v>
      </c>
    </row>
    <row r="61" spans="2:19" ht="15">
      <c r="B61" s="28">
        <f t="shared" si="4"/>
        <v>54</v>
      </c>
      <c r="C61" s="7">
        <v>6</v>
      </c>
      <c r="D61" s="277" t="s">
        <v>363</v>
      </c>
      <c r="E61" s="278"/>
      <c r="F61" s="278"/>
      <c r="G61" s="278"/>
      <c r="H61" s="279"/>
      <c r="I61" s="79">
        <v>0</v>
      </c>
      <c r="J61" s="79">
        <v>0</v>
      </c>
      <c r="K61" s="190"/>
      <c r="L61" s="175"/>
      <c r="M61" s="79">
        <v>0</v>
      </c>
      <c r="N61" s="79"/>
      <c r="O61" s="189"/>
      <c r="P61" s="175"/>
      <c r="Q61" s="79">
        <f t="shared" si="6"/>
        <v>0</v>
      </c>
      <c r="R61" s="79">
        <f t="shared" si="2"/>
        <v>0</v>
      </c>
      <c r="S61" s="188">
        <v>0</v>
      </c>
    </row>
    <row r="62" spans="2:19" ht="15">
      <c r="B62" s="28">
        <f t="shared" si="4"/>
        <v>55</v>
      </c>
      <c r="C62" s="7">
        <v>7</v>
      </c>
      <c r="D62" s="277" t="s">
        <v>259</v>
      </c>
      <c r="E62" s="278"/>
      <c r="F62" s="278"/>
      <c r="G62" s="278"/>
      <c r="H62" s="279"/>
      <c r="I62" s="79">
        <f>I63+I64+I68</f>
        <v>104480</v>
      </c>
      <c r="J62" s="79">
        <f>J63+J64+J68</f>
        <v>6212</v>
      </c>
      <c r="K62" s="190">
        <f t="shared" si="0"/>
        <v>5.945635528330781</v>
      </c>
      <c r="L62" s="175"/>
      <c r="M62" s="79">
        <v>0</v>
      </c>
      <c r="N62" s="79"/>
      <c r="O62" s="189"/>
      <c r="P62" s="175"/>
      <c r="Q62" s="79">
        <f t="shared" si="6"/>
        <v>104480</v>
      </c>
      <c r="R62" s="79">
        <f t="shared" si="2"/>
        <v>6212</v>
      </c>
      <c r="S62" s="188">
        <f t="shared" si="3"/>
        <v>5.945635528330781</v>
      </c>
    </row>
    <row r="63" spans="2:19" ht="12.75">
      <c r="B63" s="28">
        <f t="shared" si="4"/>
        <v>56</v>
      </c>
      <c r="C63" s="9"/>
      <c r="D63" s="9"/>
      <c r="E63" s="9"/>
      <c r="F63" s="31" t="s">
        <v>72</v>
      </c>
      <c r="G63" s="40">
        <v>620</v>
      </c>
      <c r="H63" s="9" t="s">
        <v>128</v>
      </c>
      <c r="I63" s="72">
        <v>11000</v>
      </c>
      <c r="J63" s="72">
        <v>452</v>
      </c>
      <c r="K63" s="190">
        <f t="shared" si="0"/>
        <v>4.1090909090909085</v>
      </c>
      <c r="L63" s="177"/>
      <c r="M63" s="72"/>
      <c r="N63" s="72"/>
      <c r="O63" s="189"/>
      <c r="P63" s="177"/>
      <c r="Q63" s="72">
        <f t="shared" si="6"/>
        <v>11000</v>
      </c>
      <c r="R63" s="72">
        <f t="shared" si="2"/>
        <v>452</v>
      </c>
      <c r="S63" s="188">
        <f t="shared" si="3"/>
        <v>4.1090909090909085</v>
      </c>
    </row>
    <row r="64" spans="2:19" ht="12.75">
      <c r="B64" s="28">
        <f t="shared" si="4"/>
        <v>57</v>
      </c>
      <c r="C64" s="9"/>
      <c r="D64" s="9"/>
      <c r="E64" s="9"/>
      <c r="F64" s="31" t="s">
        <v>72</v>
      </c>
      <c r="G64" s="40">
        <v>630</v>
      </c>
      <c r="H64" s="9" t="s">
        <v>125</v>
      </c>
      <c r="I64" s="72">
        <f>SUM(I65:I67)</f>
        <v>76800</v>
      </c>
      <c r="J64" s="72">
        <f>SUM(J65:J67)</f>
        <v>1344</v>
      </c>
      <c r="K64" s="190">
        <f t="shared" si="0"/>
        <v>1.7500000000000002</v>
      </c>
      <c r="L64" s="177"/>
      <c r="M64" s="72"/>
      <c r="N64" s="72"/>
      <c r="O64" s="189"/>
      <c r="P64" s="177"/>
      <c r="Q64" s="72">
        <f t="shared" si="6"/>
        <v>76800</v>
      </c>
      <c r="R64" s="72">
        <f t="shared" si="2"/>
        <v>1344</v>
      </c>
      <c r="S64" s="188">
        <f t="shared" si="3"/>
        <v>1.7500000000000002</v>
      </c>
    </row>
    <row r="65" spans="2:19" ht="12.75">
      <c r="B65" s="28">
        <f t="shared" si="4"/>
        <v>58</v>
      </c>
      <c r="C65" s="4"/>
      <c r="D65" s="4"/>
      <c r="E65" s="4"/>
      <c r="F65" s="32" t="s">
        <v>72</v>
      </c>
      <c r="G65" s="41">
        <v>632</v>
      </c>
      <c r="H65" s="4" t="s">
        <v>138</v>
      </c>
      <c r="I65" s="71">
        <v>30000</v>
      </c>
      <c r="J65" s="71">
        <v>0</v>
      </c>
      <c r="K65" s="190">
        <f t="shared" si="0"/>
        <v>0</v>
      </c>
      <c r="L65" s="178"/>
      <c r="M65" s="71"/>
      <c r="N65" s="71"/>
      <c r="O65" s="189"/>
      <c r="P65" s="178"/>
      <c r="Q65" s="71">
        <f t="shared" si="6"/>
        <v>30000</v>
      </c>
      <c r="R65" s="71">
        <f t="shared" si="2"/>
        <v>0</v>
      </c>
      <c r="S65" s="188">
        <f t="shared" si="3"/>
        <v>0</v>
      </c>
    </row>
    <row r="66" spans="2:19" ht="12.75">
      <c r="B66" s="28">
        <f t="shared" si="4"/>
        <v>59</v>
      </c>
      <c r="C66" s="4"/>
      <c r="D66" s="4"/>
      <c r="E66" s="4"/>
      <c r="F66" s="32" t="s">
        <v>72</v>
      </c>
      <c r="G66" s="41">
        <v>633</v>
      </c>
      <c r="H66" s="4" t="s">
        <v>129</v>
      </c>
      <c r="I66" s="71">
        <v>5500</v>
      </c>
      <c r="J66" s="71">
        <v>0</v>
      </c>
      <c r="K66" s="190">
        <f t="shared" si="0"/>
        <v>0</v>
      </c>
      <c r="L66" s="178"/>
      <c r="M66" s="71"/>
      <c r="N66" s="71"/>
      <c r="O66" s="189"/>
      <c r="P66" s="178"/>
      <c r="Q66" s="71">
        <f t="shared" si="6"/>
        <v>5500</v>
      </c>
      <c r="R66" s="71">
        <f t="shared" si="2"/>
        <v>0</v>
      </c>
      <c r="S66" s="188">
        <f t="shared" si="3"/>
        <v>0</v>
      </c>
    </row>
    <row r="67" spans="2:19" ht="12.75">
      <c r="B67" s="28">
        <f t="shared" si="4"/>
        <v>60</v>
      </c>
      <c r="C67" s="4"/>
      <c r="D67" s="4"/>
      <c r="E67" s="4"/>
      <c r="F67" s="32" t="s">
        <v>72</v>
      </c>
      <c r="G67" s="41">
        <v>637</v>
      </c>
      <c r="H67" s="4" t="s">
        <v>126</v>
      </c>
      <c r="I67" s="71">
        <f>93300-52000</f>
        <v>41300</v>
      </c>
      <c r="J67" s="71">
        <f>5760-J69</f>
        <v>1344</v>
      </c>
      <c r="K67" s="190">
        <f t="shared" si="0"/>
        <v>3.2542372881355934</v>
      </c>
      <c r="L67" s="178"/>
      <c r="M67" s="71"/>
      <c r="N67" s="71"/>
      <c r="O67" s="189"/>
      <c r="P67" s="178"/>
      <c r="Q67" s="71">
        <f t="shared" si="6"/>
        <v>41300</v>
      </c>
      <c r="R67" s="71">
        <f t="shared" si="2"/>
        <v>1344</v>
      </c>
      <c r="S67" s="188">
        <f t="shared" si="3"/>
        <v>3.2542372881355934</v>
      </c>
    </row>
    <row r="68" spans="2:19" ht="12.75">
      <c r="B68" s="28">
        <f t="shared" si="4"/>
        <v>61</v>
      </c>
      <c r="C68" s="9"/>
      <c r="D68" s="9"/>
      <c r="E68" s="9"/>
      <c r="F68" s="31" t="s">
        <v>258</v>
      </c>
      <c r="G68" s="40">
        <v>630</v>
      </c>
      <c r="H68" s="9" t="s">
        <v>125</v>
      </c>
      <c r="I68" s="72">
        <f>I69</f>
        <v>16680</v>
      </c>
      <c r="J68" s="72">
        <f>J69</f>
        <v>4416</v>
      </c>
      <c r="K68" s="190">
        <f t="shared" si="0"/>
        <v>26.47482014388489</v>
      </c>
      <c r="L68" s="177"/>
      <c r="M68" s="72"/>
      <c r="N68" s="72"/>
      <c r="O68" s="189"/>
      <c r="P68" s="177"/>
      <c r="Q68" s="72">
        <f t="shared" si="6"/>
        <v>16680</v>
      </c>
      <c r="R68" s="72">
        <f t="shared" si="2"/>
        <v>4416</v>
      </c>
      <c r="S68" s="188">
        <f t="shared" si="3"/>
        <v>26.47482014388489</v>
      </c>
    </row>
    <row r="69" spans="2:19" ht="12.75">
      <c r="B69" s="28">
        <f t="shared" si="4"/>
        <v>62</v>
      </c>
      <c r="C69" s="4"/>
      <c r="D69" s="4"/>
      <c r="E69" s="4"/>
      <c r="F69" s="32" t="s">
        <v>258</v>
      </c>
      <c r="G69" s="41">
        <v>637</v>
      </c>
      <c r="H69" s="4" t="s">
        <v>126</v>
      </c>
      <c r="I69" s="71">
        <v>16680</v>
      </c>
      <c r="J69" s="71">
        <v>4416</v>
      </c>
      <c r="K69" s="190">
        <f t="shared" si="0"/>
        <v>26.47482014388489</v>
      </c>
      <c r="L69" s="178"/>
      <c r="M69" s="71"/>
      <c r="N69" s="71"/>
      <c r="O69" s="189"/>
      <c r="P69" s="178"/>
      <c r="Q69" s="71">
        <f t="shared" si="6"/>
        <v>16680</v>
      </c>
      <c r="R69" s="71">
        <f t="shared" si="2"/>
        <v>4416</v>
      </c>
      <c r="S69" s="188">
        <f t="shared" si="3"/>
        <v>26.47482014388489</v>
      </c>
    </row>
    <row r="70" spans="2:19" ht="15">
      <c r="B70" s="28">
        <f t="shared" si="4"/>
        <v>63</v>
      </c>
      <c r="C70" s="7">
        <v>8</v>
      </c>
      <c r="D70" s="277" t="s">
        <v>284</v>
      </c>
      <c r="E70" s="278"/>
      <c r="F70" s="278"/>
      <c r="G70" s="278"/>
      <c r="H70" s="279"/>
      <c r="I70" s="79">
        <f>I71</f>
        <v>14050</v>
      </c>
      <c r="J70" s="79">
        <f>J71</f>
        <v>13907</v>
      </c>
      <c r="K70" s="190">
        <f t="shared" si="0"/>
        <v>98.98220640569394</v>
      </c>
      <c r="L70" s="175"/>
      <c r="M70" s="79">
        <v>0</v>
      </c>
      <c r="N70" s="79"/>
      <c r="O70" s="189"/>
      <c r="P70" s="175"/>
      <c r="Q70" s="79">
        <f t="shared" si="6"/>
        <v>14050</v>
      </c>
      <c r="R70" s="79">
        <f t="shared" si="2"/>
        <v>13907</v>
      </c>
      <c r="S70" s="188">
        <f t="shared" si="3"/>
        <v>98.98220640569394</v>
      </c>
    </row>
    <row r="71" spans="2:19" ht="12.75">
      <c r="B71" s="28">
        <f t="shared" si="4"/>
        <v>64</v>
      </c>
      <c r="C71" s="9"/>
      <c r="D71" s="9"/>
      <c r="E71" s="9"/>
      <c r="F71" s="31" t="s">
        <v>148</v>
      </c>
      <c r="G71" s="40">
        <v>640</v>
      </c>
      <c r="H71" s="9" t="s">
        <v>132</v>
      </c>
      <c r="I71" s="72">
        <f>I72</f>
        <v>14050</v>
      </c>
      <c r="J71" s="72">
        <f>J72</f>
        <v>13907</v>
      </c>
      <c r="K71" s="190">
        <f t="shared" si="0"/>
        <v>98.98220640569394</v>
      </c>
      <c r="L71" s="177"/>
      <c r="M71" s="72"/>
      <c r="N71" s="72"/>
      <c r="O71" s="189"/>
      <c r="P71" s="177"/>
      <c r="Q71" s="72">
        <f t="shared" si="6"/>
        <v>14050</v>
      </c>
      <c r="R71" s="72">
        <f t="shared" si="2"/>
        <v>13907</v>
      </c>
      <c r="S71" s="188">
        <f t="shared" si="3"/>
        <v>98.98220640569394</v>
      </c>
    </row>
    <row r="72" spans="2:19" ht="12.75">
      <c r="B72" s="28">
        <f t="shared" si="4"/>
        <v>65</v>
      </c>
      <c r="C72" s="4"/>
      <c r="D72" s="4"/>
      <c r="E72" s="4"/>
      <c r="F72" s="32" t="s">
        <v>148</v>
      </c>
      <c r="G72" s="41">
        <v>642</v>
      </c>
      <c r="H72" s="4" t="s">
        <v>133</v>
      </c>
      <c r="I72" s="71">
        <v>14050</v>
      </c>
      <c r="J72" s="71">
        <v>13907</v>
      </c>
      <c r="K72" s="190">
        <f>J72/I72*100</f>
        <v>98.98220640569394</v>
      </c>
      <c r="L72" s="178"/>
      <c r="M72" s="71"/>
      <c r="N72" s="71"/>
      <c r="O72" s="189"/>
      <c r="P72" s="178"/>
      <c r="Q72" s="71">
        <f t="shared" si="6"/>
        <v>14050</v>
      </c>
      <c r="R72" s="71">
        <f>J72+N72</f>
        <v>13907</v>
      </c>
      <c r="S72" s="188">
        <f>R72/Q72*100</f>
        <v>98.98220640569394</v>
      </c>
    </row>
    <row r="73" spans="2:19" ht="15">
      <c r="B73" s="28">
        <f t="shared" si="4"/>
        <v>66</v>
      </c>
      <c r="C73" s="7">
        <v>9</v>
      </c>
      <c r="D73" s="277" t="s">
        <v>184</v>
      </c>
      <c r="E73" s="278"/>
      <c r="F73" s="278"/>
      <c r="G73" s="278"/>
      <c r="H73" s="279"/>
      <c r="I73" s="79">
        <v>42169</v>
      </c>
      <c r="J73" s="79">
        <v>43665</v>
      </c>
      <c r="K73" s="190">
        <f>J73/I73*100</f>
        <v>103.54762977542744</v>
      </c>
      <c r="L73" s="175"/>
      <c r="M73" s="79">
        <v>0</v>
      </c>
      <c r="N73" s="79"/>
      <c r="O73" s="189"/>
      <c r="P73" s="175"/>
      <c r="Q73" s="79">
        <f t="shared" si="6"/>
        <v>42169</v>
      </c>
      <c r="R73" s="79">
        <f>J73+N73</f>
        <v>43665</v>
      </c>
      <c r="S73" s="188">
        <f>R73/Q73*100</f>
        <v>103.54762977542744</v>
      </c>
    </row>
    <row r="76" spans="2:17" ht="27.75" thickBot="1">
      <c r="B76" s="287" t="s">
        <v>20</v>
      </c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</row>
    <row r="77" spans="2:19" ht="12.75" customHeight="1" thickBot="1">
      <c r="B77" s="269" t="s">
        <v>309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170"/>
      <c r="Q77" s="274" t="s">
        <v>515</v>
      </c>
      <c r="R77" s="265" t="s">
        <v>569</v>
      </c>
      <c r="S77" s="266" t="s">
        <v>564</v>
      </c>
    </row>
    <row r="78" spans="2:19" ht="12.75" customHeight="1" thickBot="1">
      <c r="B78" s="275"/>
      <c r="C78" s="273" t="s">
        <v>118</v>
      </c>
      <c r="D78" s="273" t="s">
        <v>119</v>
      </c>
      <c r="E78" s="276"/>
      <c r="F78" s="273" t="s">
        <v>120</v>
      </c>
      <c r="G78" s="270" t="s">
        <v>121</v>
      </c>
      <c r="H78" s="271" t="s">
        <v>122</v>
      </c>
      <c r="I78" s="267" t="s">
        <v>565</v>
      </c>
      <c r="J78" s="267" t="s">
        <v>566</v>
      </c>
      <c r="K78" s="268" t="s">
        <v>564</v>
      </c>
      <c r="L78" s="172"/>
      <c r="M78" s="272" t="s">
        <v>567</v>
      </c>
      <c r="N78" s="267" t="s">
        <v>568</v>
      </c>
      <c r="O78" s="268" t="s">
        <v>564</v>
      </c>
      <c r="P78" s="171"/>
      <c r="Q78" s="274"/>
      <c r="R78" s="265"/>
      <c r="S78" s="266"/>
    </row>
    <row r="79" spans="2:19" ht="13.5" thickBot="1">
      <c r="B79" s="275"/>
      <c r="C79" s="273"/>
      <c r="D79" s="273"/>
      <c r="E79" s="276"/>
      <c r="F79" s="273"/>
      <c r="G79" s="270"/>
      <c r="H79" s="271"/>
      <c r="I79" s="267"/>
      <c r="J79" s="267"/>
      <c r="K79" s="268"/>
      <c r="L79" s="172"/>
      <c r="M79" s="272"/>
      <c r="N79" s="267"/>
      <c r="O79" s="268"/>
      <c r="P79" s="171"/>
      <c r="Q79" s="274"/>
      <c r="R79" s="265"/>
      <c r="S79" s="266"/>
    </row>
    <row r="80" spans="2:19" ht="13.5" thickBot="1">
      <c r="B80" s="275"/>
      <c r="C80" s="273"/>
      <c r="D80" s="273"/>
      <c r="E80" s="276"/>
      <c r="F80" s="273"/>
      <c r="G80" s="270"/>
      <c r="H80" s="271"/>
      <c r="I80" s="267"/>
      <c r="J80" s="267"/>
      <c r="K80" s="268"/>
      <c r="L80" s="172"/>
      <c r="M80" s="272"/>
      <c r="N80" s="267"/>
      <c r="O80" s="268"/>
      <c r="P80" s="171"/>
      <c r="Q80" s="274"/>
      <c r="R80" s="265"/>
      <c r="S80" s="266"/>
    </row>
    <row r="81" spans="2:19" ht="13.5" thickBot="1">
      <c r="B81" s="275"/>
      <c r="C81" s="273"/>
      <c r="D81" s="273"/>
      <c r="E81" s="276"/>
      <c r="F81" s="273"/>
      <c r="G81" s="270"/>
      <c r="H81" s="271"/>
      <c r="I81" s="267"/>
      <c r="J81" s="267"/>
      <c r="K81" s="268"/>
      <c r="L81" s="173"/>
      <c r="M81" s="272"/>
      <c r="N81" s="267"/>
      <c r="O81" s="268"/>
      <c r="P81" s="171"/>
      <c r="Q81" s="274"/>
      <c r="R81" s="265"/>
      <c r="S81" s="266"/>
    </row>
    <row r="82" spans="2:19" ht="16.5" thickTop="1">
      <c r="B82" s="28">
        <v>1</v>
      </c>
      <c r="C82" s="281" t="s">
        <v>20</v>
      </c>
      <c r="D82" s="285"/>
      <c r="E82" s="285"/>
      <c r="F82" s="285"/>
      <c r="G82" s="285"/>
      <c r="H82" s="286"/>
      <c r="I82" s="81">
        <f>I83+I92</f>
        <v>134500</v>
      </c>
      <c r="J82" s="81">
        <f>J83+J92</f>
        <v>52994</v>
      </c>
      <c r="K82" s="189">
        <f aca="true" t="shared" si="7" ref="K82:K97">J82/I82*100</f>
        <v>39.40074349442379</v>
      </c>
      <c r="L82" s="179"/>
      <c r="M82" s="81">
        <v>0</v>
      </c>
      <c r="N82" s="81">
        <v>0</v>
      </c>
      <c r="O82" s="189"/>
      <c r="P82" s="179"/>
      <c r="Q82" s="81">
        <f aca="true" t="shared" si="8" ref="Q82:Q97">I82</f>
        <v>134500</v>
      </c>
      <c r="R82" s="81">
        <f aca="true" t="shared" si="9" ref="R82:R97">J82</f>
        <v>52994</v>
      </c>
      <c r="S82" s="188">
        <f aca="true" t="shared" si="10" ref="S82:S97">R82/Q82*100</f>
        <v>39.40074349442379</v>
      </c>
    </row>
    <row r="83" spans="2:19" ht="15">
      <c r="B83" s="28">
        <f>B82+1</f>
        <v>2</v>
      </c>
      <c r="C83" s="7">
        <v>1</v>
      </c>
      <c r="D83" s="277" t="s">
        <v>203</v>
      </c>
      <c r="E83" s="278"/>
      <c r="F83" s="278"/>
      <c r="G83" s="278"/>
      <c r="H83" s="279"/>
      <c r="I83" s="79">
        <f>I84+I86+I88+I90</f>
        <v>98500</v>
      </c>
      <c r="J83" s="79">
        <f>J84+J86+J88+J90</f>
        <v>22951</v>
      </c>
      <c r="K83" s="190">
        <f t="shared" si="7"/>
        <v>23.3005076142132</v>
      </c>
      <c r="L83" s="175"/>
      <c r="M83" s="79">
        <v>0</v>
      </c>
      <c r="N83" s="79">
        <v>0</v>
      </c>
      <c r="O83" s="189"/>
      <c r="P83" s="175"/>
      <c r="Q83" s="79">
        <f t="shared" si="8"/>
        <v>98500</v>
      </c>
      <c r="R83" s="79">
        <f t="shared" si="9"/>
        <v>22951</v>
      </c>
      <c r="S83" s="188">
        <f t="shared" si="10"/>
        <v>23.3005076142132</v>
      </c>
    </row>
    <row r="84" spans="2:19" ht="12.75">
      <c r="B84" s="25">
        <f>B83+1</f>
        <v>3</v>
      </c>
      <c r="C84" s="9"/>
      <c r="D84" s="9"/>
      <c r="E84" s="9"/>
      <c r="F84" s="31" t="s">
        <v>72</v>
      </c>
      <c r="G84" s="40">
        <v>630</v>
      </c>
      <c r="H84" s="9" t="s">
        <v>125</v>
      </c>
      <c r="I84" s="72">
        <f>I85</f>
        <v>22000</v>
      </c>
      <c r="J84" s="72">
        <f>J85</f>
        <v>7485</v>
      </c>
      <c r="K84" s="190">
        <f t="shared" si="7"/>
        <v>34.02272727272727</v>
      </c>
      <c r="L84" s="177"/>
      <c r="M84" s="72"/>
      <c r="N84" s="72"/>
      <c r="O84" s="189"/>
      <c r="P84" s="177"/>
      <c r="Q84" s="72">
        <f t="shared" si="8"/>
        <v>22000</v>
      </c>
      <c r="R84" s="72">
        <f t="shared" si="9"/>
        <v>7485</v>
      </c>
      <c r="S84" s="188">
        <f t="shared" si="10"/>
        <v>34.02272727272727</v>
      </c>
    </row>
    <row r="85" spans="2:19" ht="12.75">
      <c r="B85" s="25">
        <f aca="true" t="shared" si="11" ref="B85:B97">B84+1</f>
        <v>4</v>
      </c>
      <c r="C85" s="4"/>
      <c r="D85" s="4"/>
      <c r="E85" s="4"/>
      <c r="F85" s="32" t="s">
        <v>72</v>
      </c>
      <c r="G85" s="41">
        <v>637</v>
      </c>
      <c r="H85" s="4" t="s">
        <v>126</v>
      </c>
      <c r="I85" s="71">
        <v>22000</v>
      </c>
      <c r="J85" s="71">
        <v>7485</v>
      </c>
      <c r="K85" s="190">
        <f t="shared" si="7"/>
        <v>34.02272727272727</v>
      </c>
      <c r="L85" s="178"/>
      <c r="M85" s="71"/>
      <c r="N85" s="71"/>
      <c r="O85" s="189"/>
      <c r="P85" s="178"/>
      <c r="Q85" s="71">
        <f t="shared" si="8"/>
        <v>22000</v>
      </c>
      <c r="R85" s="71">
        <f t="shared" si="9"/>
        <v>7485</v>
      </c>
      <c r="S85" s="188">
        <f t="shared" si="10"/>
        <v>34.02272727272727</v>
      </c>
    </row>
    <row r="86" spans="2:19" ht="12.75">
      <c r="B86" s="25">
        <f t="shared" si="11"/>
        <v>5</v>
      </c>
      <c r="C86" s="9"/>
      <c r="D86" s="9"/>
      <c r="E86" s="9"/>
      <c r="F86" s="31" t="s">
        <v>255</v>
      </c>
      <c r="G86" s="40">
        <v>630</v>
      </c>
      <c r="H86" s="9" t="s">
        <v>125</v>
      </c>
      <c r="I86" s="72">
        <f>I87</f>
        <v>21500</v>
      </c>
      <c r="J86" s="72">
        <f>J87</f>
        <v>231</v>
      </c>
      <c r="K86" s="190">
        <f t="shared" si="7"/>
        <v>1.0744186046511628</v>
      </c>
      <c r="L86" s="177"/>
      <c r="M86" s="72"/>
      <c r="N86" s="72"/>
      <c r="O86" s="189"/>
      <c r="P86" s="177"/>
      <c r="Q86" s="72">
        <f t="shared" si="8"/>
        <v>21500</v>
      </c>
      <c r="R86" s="72">
        <f t="shared" si="9"/>
        <v>231</v>
      </c>
      <c r="S86" s="188">
        <f t="shared" si="10"/>
        <v>1.0744186046511628</v>
      </c>
    </row>
    <row r="87" spans="2:19" ht="12.75">
      <c r="B87" s="25">
        <f t="shared" si="11"/>
        <v>6</v>
      </c>
      <c r="C87" s="4"/>
      <c r="D87" s="4"/>
      <c r="E87" s="4"/>
      <c r="F87" s="32" t="s">
        <v>255</v>
      </c>
      <c r="G87" s="41">
        <v>637</v>
      </c>
      <c r="H87" s="4" t="s">
        <v>126</v>
      </c>
      <c r="I87" s="71">
        <v>21500</v>
      </c>
      <c r="J87" s="71">
        <v>231</v>
      </c>
      <c r="K87" s="190">
        <f t="shared" si="7"/>
        <v>1.0744186046511628</v>
      </c>
      <c r="L87" s="178"/>
      <c r="M87" s="71"/>
      <c r="N87" s="71"/>
      <c r="O87" s="189"/>
      <c r="P87" s="178"/>
      <c r="Q87" s="71">
        <f t="shared" si="8"/>
        <v>21500</v>
      </c>
      <c r="R87" s="71">
        <f t="shared" si="9"/>
        <v>231</v>
      </c>
      <c r="S87" s="188">
        <f t="shared" si="10"/>
        <v>1.0744186046511628</v>
      </c>
    </row>
    <row r="88" spans="2:19" ht="12.75">
      <c r="B88" s="25">
        <f t="shared" si="11"/>
        <v>7</v>
      </c>
      <c r="C88" s="9"/>
      <c r="D88" s="9"/>
      <c r="E88" s="9"/>
      <c r="F88" s="31" t="s">
        <v>73</v>
      </c>
      <c r="G88" s="40">
        <v>600</v>
      </c>
      <c r="H88" s="9" t="s">
        <v>337</v>
      </c>
      <c r="I88" s="72">
        <f>I89</f>
        <v>27300</v>
      </c>
      <c r="J88" s="72">
        <f>J89</f>
        <v>6451</v>
      </c>
      <c r="K88" s="190">
        <f t="shared" si="7"/>
        <v>23.63003663003663</v>
      </c>
      <c r="L88" s="177"/>
      <c r="M88" s="72"/>
      <c r="N88" s="72"/>
      <c r="O88" s="189"/>
      <c r="P88" s="177"/>
      <c r="Q88" s="72">
        <f t="shared" si="8"/>
        <v>27300</v>
      </c>
      <c r="R88" s="72">
        <f t="shared" si="9"/>
        <v>6451</v>
      </c>
      <c r="S88" s="188">
        <f t="shared" si="10"/>
        <v>23.63003663003663</v>
      </c>
    </row>
    <row r="89" spans="2:19" ht="12.75">
      <c r="B89" s="25">
        <f t="shared" si="11"/>
        <v>8</v>
      </c>
      <c r="C89" s="4"/>
      <c r="D89" s="4"/>
      <c r="E89" s="4"/>
      <c r="F89" s="32" t="s">
        <v>73</v>
      </c>
      <c r="G89" s="41">
        <v>600</v>
      </c>
      <c r="H89" s="14" t="s">
        <v>338</v>
      </c>
      <c r="I89" s="71">
        <v>27300</v>
      </c>
      <c r="J89" s="71">
        <v>6451</v>
      </c>
      <c r="K89" s="190">
        <f t="shared" si="7"/>
        <v>23.63003663003663</v>
      </c>
      <c r="L89" s="178"/>
      <c r="M89" s="71"/>
      <c r="N89" s="71"/>
      <c r="O89" s="189"/>
      <c r="P89" s="178"/>
      <c r="Q89" s="71">
        <f t="shared" si="8"/>
        <v>27300</v>
      </c>
      <c r="R89" s="71">
        <f t="shared" si="9"/>
        <v>6451</v>
      </c>
      <c r="S89" s="188">
        <f t="shared" si="10"/>
        <v>23.63003663003663</v>
      </c>
    </row>
    <row r="90" spans="2:19" ht="12.75">
      <c r="B90" s="25">
        <f t="shared" si="11"/>
        <v>9</v>
      </c>
      <c r="C90" s="9"/>
      <c r="D90" s="9"/>
      <c r="E90" s="9"/>
      <c r="F90" s="31" t="s">
        <v>227</v>
      </c>
      <c r="G90" s="40">
        <v>630</v>
      </c>
      <c r="H90" s="9" t="s">
        <v>125</v>
      </c>
      <c r="I90" s="72">
        <f>I91</f>
        <v>27700</v>
      </c>
      <c r="J90" s="72">
        <f>J91</f>
        <v>8784</v>
      </c>
      <c r="K90" s="190">
        <f t="shared" si="7"/>
        <v>31.711191335740075</v>
      </c>
      <c r="L90" s="177"/>
      <c r="M90" s="72"/>
      <c r="N90" s="72"/>
      <c r="O90" s="189"/>
      <c r="P90" s="177"/>
      <c r="Q90" s="72">
        <f t="shared" si="8"/>
        <v>27700</v>
      </c>
      <c r="R90" s="72">
        <f t="shared" si="9"/>
        <v>8784</v>
      </c>
      <c r="S90" s="188">
        <f t="shared" si="10"/>
        <v>31.711191335740075</v>
      </c>
    </row>
    <row r="91" spans="2:19" ht="12.75">
      <c r="B91" s="25">
        <f t="shared" si="11"/>
        <v>10</v>
      </c>
      <c r="C91" s="4"/>
      <c r="D91" s="4"/>
      <c r="E91" s="4"/>
      <c r="F91" s="32" t="s">
        <v>227</v>
      </c>
      <c r="G91" s="41">
        <v>637</v>
      </c>
      <c r="H91" s="4" t="s">
        <v>126</v>
      </c>
      <c r="I91" s="71">
        <f>22000+5700</f>
        <v>27700</v>
      </c>
      <c r="J91" s="71">
        <v>8784</v>
      </c>
      <c r="K91" s="190">
        <f t="shared" si="7"/>
        <v>31.711191335740075</v>
      </c>
      <c r="L91" s="178"/>
      <c r="M91" s="71"/>
      <c r="N91" s="71"/>
      <c r="O91" s="189"/>
      <c r="P91" s="178"/>
      <c r="Q91" s="71">
        <f t="shared" si="8"/>
        <v>27700</v>
      </c>
      <c r="R91" s="71">
        <f t="shared" si="9"/>
        <v>8784</v>
      </c>
      <c r="S91" s="188">
        <f t="shared" si="10"/>
        <v>31.711191335740075</v>
      </c>
    </row>
    <row r="92" spans="2:19" ht="15">
      <c r="B92" s="25">
        <f t="shared" si="11"/>
        <v>11</v>
      </c>
      <c r="C92" s="7">
        <v>2</v>
      </c>
      <c r="D92" s="277" t="s">
        <v>256</v>
      </c>
      <c r="E92" s="278"/>
      <c r="F92" s="278"/>
      <c r="G92" s="278"/>
      <c r="H92" s="279"/>
      <c r="I92" s="79">
        <f>I93+I95</f>
        <v>36000</v>
      </c>
      <c r="J92" s="79">
        <f>J93+J95</f>
        <v>30043</v>
      </c>
      <c r="K92" s="190">
        <f t="shared" si="7"/>
        <v>83.45277777777778</v>
      </c>
      <c r="L92" s="175"/>
      <c r="M92" s="79">
        <v>0</v>
      </c>
      <c r="N92" s="79">
        <v>0</v>
      </c>
      <c r="O92" s="189"/>
      <c r="P92" s="175"/>
      <c r="Q92" s="79">
        <f t="shared" si="8"/>
        <v>36000</v>
      </c>
      <c r="R92" s="79">
        <f t="shared" si="9"/>
        <v>30043</v>
      </c>
      <c r="S92" s="188">
        <f t="shared" si="10"/>
        <v>83.45277777777778</v>
      </c>
    </row>
    <row r="93" spans="2:19" ht="12.75">
      <c r="B93" s="25">
        <f t="shared" si="11"/>
        <v>12</v>
      </c>
      <c r="C93" s="9"/>
      <c r="D93" s="9"/>
      <c r="E93" s="9"/>
      <c r="F93" s="31" t="s">
        <v>255</v>
      </c>
      <c r="G93" s="40">
        <v>630</v>
      </c>
      <c r="H93" s="9" t="s">
        <v>125</v>
      </c>
      <c r="I93" s="72">
        <f>I94</f>
        <v>6000</v>
      </c>
      <c r="J93" s="72">
        <f>J94</f>
        <v>43</v>
      </c>
      <c r="K93" s="190">
        <f t="shared" si="7"/>
        <v>0.7166666666666667</v>
      </c>
      <c r="L93" s="177"/>
      <c r="M93" s="72"/>
      <c r="N93" s="72"/>
      <c r="O93" s="189"/>
      <c r="P93" s="177"/>
      <c r="Q93" s="72">
        <f t="shared" si="8"/>
        <v>6000</v>
      </c>
      <c r="R93" s="72">
        <f t="shared" si="9"/>
        <v>43</v>
      </c>
      <c r="S93" s="188">
        <f t="shared" si="10"/>
        <v>0.7166666666666667</v>
      </c>
    </row>
    <row r="94" spans="2:19" ht="12.75">
      <c r="B94" s="25">
        <f t="shared" si="11"/>
        <v>13</v>
      </c>
      <c r="C94" s="4"/>
      <c r="D94" s="4"/>
      <c r="E94" s="4"/>
      <c r="F94" s="32" t="s">
        <v>255</v>
      </c>
      <c r="G94" s="41">
        <v>637</v>
      </c>
      <c r="H94" s="4" t="s">
        <v>126</v>
      </c>
      <c r="I94" s="71">
        <v>6000</v>
      </c>
      <c r="J94" s="71">
        <v>43</v>
      </c>
      <c r="K94" s="190">
        <f t="shared" si="7"/>
        <v>0.7166666666666667</v>
      </c>
      <c r="L94" s="178"/>
      <c r="M94" s="71"/>
      <c r="N94" s="71"/>
      <c r="O94" s="189"/>
      <c r="P94" s="178"/>
      <c r="Q94" s="71">
        <f t="shared" si="8"/>
        <v>6000</v>
      </c>
      <c r="R94" s="71">
        <f t="shared" si="9"/>
        <v>43</v>
      </c>
      <c r="S94" s="188">
        <f t="shared" si="10"/>
        <v>0.7166666666666667</v>
      </c>
    </row>
    <row r="95" spans="2:19" ht="12.75">
      <c r="B95" s="25">
        <f t="shared" si="11"/>
        <v>14</v>
      </c>
      <c r="C95" s="9"/>
      <c r="D95" s="9"/>
      <c r="E95" s="9"/>
      <c r="F95" s="31" t="s">
        <v>255</v>
      </c>
      <c r="G95" s="40">
        <v>640</v>
      </c>
      <c r="H95" s="9" t="s">
        <v>132</v>
      </c>
      <c r="I95" s="72">
        <f>I96</f>
        <v>30000</v>
      </c>
      <c r="J95" s="72">
        <f>J96</f>
        <v>30000</v>
      </c>
      <c r="K95" s="190">
        <f t="shared" si="7"/>
        <v>100</v>
      </c>
      <c r="L95" s="177"/>
      <c r="M95" s="72"/>
      <c r="N95" s="72"/>
      <c r="O95" s="189"/>
      <c r="P95" s="177"/>
      <c r="Q95" s="72">
        <f t="shared" si="8"/>
        <v>30000</v>
      </c>
      <c r="R95" s="72">
        <f t="shared" si="9"/>
        <v>30000</v>
      </c>
      <c r="S95" s="188">
        <f t="shared" si="10"/>
        <v>100</v>
      </c>
    </row>
    <row r="96" spans="2:19" ht="12.75">
      <c r="B96" s="25">
        <f t="shared" si="11"/>
        <v>15</v>
      </c>
      <c r="C96" s="4"/>
      <c r="D96" s="4"/>
      <c r="E96" s="4"/>
      <c r="F96" s="32" t="s">
        <v>255</v>
      </c>
      <c r="G96" s="41">
        <v>642</v>
      </c>
      <c r="H96" s="4" t="s">
        <v>133</v>
      </c>
      <c r="I96" s="71">
        <f>I97</f>
        <v>30000</v>
      </c>
      <c r="J96" s="71">
        <f>J97</f>
        <v>30000</v>
      </c>
      <c r="K96" s="190">
        <f t="shared" si="7"/>
        <v>100</v>
      </c>
      <c r="L96" s="178"/>
      <c r="M96" s="71"/>
      <c r="N96" s="71"/>
      <c r="O96" s="189"/>
      <c r="P96" s="178"/>
      <c r="Q96" s="71">
        <f t="shared" si="8"/>
        <v>30000</v>
      </c>
      <c r="R96" s="71">
        <f t="shared" si="9"/>
        <v>30000</v>
      </c>
      <c r="S96" s="188">
        <f t="shared" si="10"/>
        <v>100</v>
      </c>
    </row>
    <row r="97" spans="2:19" ht="12.75">
      <c r="B97" s="25">
        <f t="shared" si="11"/>
        <v>16</v>
      </c>
      <c r="C97" s="5"/>
      <c r="D97" s="5"/>
      <c r="E97" s="5"/>
      <c r="F97" s="33"/>
      <c r="G97" s="42"/>
      <c r="H97" s="5" t="s">
        <v>339</v>
      </c>
      <c r="I97" s="75">
        <v>30000</v>
      </c>
      <c r="J97" s="75">
        <v>30000</v>
      </c>
      <c r="K97" s="190">
        <f t="shared" si="7"/>
        <v>100</v>
      </c>
      <c r="L97" s="99"/>
      <c r="M97" s="75"/>
      <c r="N97" s="75"/>
      <c r="O97" s="189"/>
      <c r="P97" s="99"/>
      <c r="Q97" s="75">
        <f t="shared" si="8"/>
        <v>30000</v>
      </c>
      <c r="R97" s="75">
        <f t="shared" si="9"/>
        <v>30000</v>
      </c>
      <c r="S97" s="188">
        <f t="shared" si="10"/>
        <v>100</v>
      </c>
    </row>
    <row r="109" spans="2:17" ht="27.75" thickBot="1">
      <c r="B109" s="287" t="s">
        <v>21</v>
      </c>
      <c r="C109" s="288"/>
      <c r="D109" s="288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</row>
    <row r="110" spans="2:19" ht="12.75" customHeight="1" thickBot="1">
      <c r="B110" s="269" t="s">
        <v>309</v>
      </c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170"/>
      <c r="Q110" s="274" t="s">
        <v>515</v>
      </c>
      <c r="R110" s="265" t="s">
        <v>569</v>
      </c>
      <c r="S110" s="266" t="s">
        <v>564</v>
      </c>
    </row>
    <row r="111" spans="2:19" ht="12.75" customHeight="1" thickBot="1">
      <c r="B111" s="275"/>
      <c r="C111" s="273" t="s">
        <v>118</v>
      </c>
      <c r="D111" s="273" t="s">
        <v>119</v>
      </c>
      <c r="E111" s="276"/>
      <c r="F111" s="273" t="s">
        <v>120</v>
      </c>
      <c r="G111" s="270" t="s">
        <v>121</v>
      </c>
      <c r="H111" s="271" t="s">
        <v>122</v>
      </c>
      <c r="I111" s="267" t="s">
        <v>565</v>
      </c>
      <c r="J111" s="267" t="s">
        <v>566</v>
      </c>
      <c r="K111" s="268" t="s">
        <v>564</v>
      </c>
      <c r="L111" s="168"/>
      <c r="M111" s="272" t="s">
        <v>567</v>
      </c>
      <c r="N111" s="267" t="s">
        <v>568</v>
      </c>
      <c r="O111" s="268" t="s">
        <v>564</v>
      </c>
      <c r="P111" s="171"/>
      <c r="Q111" s="274"/>
      <c r="R111" s="265"/>
      <c r="S111" s="266"/>
    </row>
    <row r="112" spans="2:19" ht="13.5" thickBot="1">
      <c r="B112" s="275"/>
      <c r="C112" s="273"/>
      <c r="D112" s="273"/>
      <c r="E112" s="276"/>
      <c r="F112" s="273"/>
      <c r="G112" s="270"/>
      <c r="H112" s="271"/>
      <c r="I112" s="267"/>
      <c r="J112" s="267"/>
      <c r="K112" s="268"/>
      <c r="L112" s="168"/>
      <c r="M112" s="272"/>
      <c r="N112" s="267"/>
      <c r="O112" s="268"/>
      <c r="P112" s="171"/>
      <c r="Q112" s="274"/>
      <c r="R112" s="265"/>
      <c r="S112" s="266"/>
    </row>
    <row r="113" spans="2:19" ht="13.5" thickBot="1">
      <c r="B113" s="275"/>
      <c r="C113" s="273"/>
      <c r="D113" s="273"/>
      <c r="E113" s="276"/>
      <c r="F113" s="273"/>
      <c r="G113" s="270"/>
      <c r="H113" s="271"/>
      <c r="I113" s="267"/>
      <c r="J113" s="267"/>
      <c r="K113" s="268"/>
      <c r="L113" s="168"/>
      <c r="M113" s="272"/>
      <c r="N113" s="267"/>
      <c r="O113" s="268"/>
      <c r="P113" s="171"/>
      <c r="Q113" s="274"/>
      <c r="R113" s="265"/>
      <c r="S113" s="266"/>
    </row>
    <row r="114" spans="2:19" ht="13.5" thickBot="1">
      <c r="B114" s="275"/>
      <c r="C114" s="273"/>
      <c r="D114" s="273"/>
      <c r="E114" s="276"/>
      <c r="F114" s="273"/>
      <c r="G114" s="270"/>
      <c r="H114" s="271"/>
      <c r="I114" s="267"/>
      <c r="J114" s="267"/>
      <c r="K114" s="268"/>
      <c r="L114" s="169"/>
      <c r="M114" s="272"/>
      <c r="N114" s="267"/>
      <c r="O114" s="268"/>
      <c r="P114" s="171"/>
      <c r="Q114" s="274"/>
      <c r="R114" s="265"/>
      <c r="S114" s="266"/>
    </row>
    <row r="115" spans="2:19" ht="16.5" thickTop="1">
      <c r="B115" s="28">
        <v>1</v>
      </c>
      <c r="C115" s="281" t="s">
        <v>21</v>
      </c>
      <c r="D115" s="285"/>
      <c r="E115" s="285"/>
      <c r="F115" s="285"/>
      <c r="G115" s="285"/>
      <c r="H115" s="286"/>
      <c r="I115" s="81">
        <f>I116+I119+I139+I143+I156+I172+I177+I187</f>
        <v>5430652</v>
      </c>
      <c r="J115" s="81">
        <f>J116+J119+J139+J143+J156+J172+J177+J187</f>
        <v>2060096</v>
      </c>
      <c r="K115" s="189">
        <f aca="true" t="shared" si="12" ref="K115:K178">J115/I115*100</f>
        <v>37.93459790831745</v>
      </c>
      <c r="L115" s="179"/>
      <c r="M115" s="81">
        <f>M116+M119+M139+M143+M156+M172+M177+M187</f>
        <v>975931</v>
      </c>
      <c r="N115" s="81">
        <f>N116+N119+N139+N143+N156+N172+N177+N187</f>
        <v>580217</v>
      </c>
      <c r="O115" s="189">
        <f>N115/M115*100</f>
        <v>59.45266622332931</v>
      </c>
      <c r="P115" s="179"/>
      <c r="Q115" s="81">
        <f aca="true" t="shared" si="13" ref="Q115:Q148">I115+M115</f>
        <v>6406583</v>
      </c>
      <c r="R115" s="81">
        <f aca="true" t="shared" si="14" ref="R115:R178">J115+N115</f>
        <v>2640313</v>
      </c>
      <c r="S115" s="188">
        <f aca="true" t="shared" si="15" ref="S115:S178">R115/Q115*100</f>
        <v>41.21249970538117</v>
      </c>
    </row>
    <row r="116" spans="2:19" ht="15">
      <c r="B116" s="28">
        <f>B115+1</f>
        <v>2</v>
      </c>
      <c r="C116" s="7">
        <v>1</v>
      </c>
      <c r="D116" s="277" t="s">
        <v>147</v>
      </c>
      <c r="E116" s="278"/>
      <c r="F116" s="278"/>
      <c r="G116" s="278"/>
      <c r="H116" s="279"/>
      <c r="I116" s="79">
        <f>I117</f>
        <v>180800</v>
      </c>
      <c r="J116" s="79">
        <f>J117</f>
        <v>58972</v>
      </c>
      <c r="K116" s="190">
        <f t="shared" si="12"/>
        <v>32.61725663716814</v>
      </c>
      <c r="L116" s="175"/>
      <c r="M116" s="79">
        <v>0</v>
      </c>
      <c r="N116" s="79"/>
      <c r="O116" s="189"/>
      <c r="P116" s="175"/>
      <c r="Q116" s="79">
        <f t="shared" si="13"/>
        <v>180800</v>
      </c>
      <c r="R116" s="79">
        <f t="shared" si="14"/>
        <v>58972</v>
      </c>
      <c r="S116" s="188">
        <f t="shared" si="15"/>
        <v>32.61725663716814</v>
      </c>
    </row>
    <row r="117" spans="2:19" ht="12.75">
      <c r="B117" s="25">
        <f>B116+1</f>
        <v>3</v>
      </c>
      <c r="C117" s="9"/>
      <c r="D117" s="9"/>
      <c r="E117" s="9"/>
      <c r="F117" s="31" t="s">
        <v>72</v>
      </c>
      <c r="G117" s="40">
        <v>630</v>
      </c>
      <c r="H117" s="9" t="s">
        <v>125</v>
      </c>
      <c r="I117" s="72">
        <f>I118</f>
        <v>180800</v>
      </c>
      <c r="J117" s="72">
        <f>J118</f>
        <v>58972</v>
      </c>
      <c r="K117" s="190">
        <f t="shared" si="12"/>
        <v>32.61725663716814</v>
      </c>
      <c r="L117" s="177"/>
      <c r="M117" s="72"/>
      <c r="N117" s="72"/>
      <c r="O117" s="189"/>
      <c r="P117" s="177"/>
      <c r="Q117" s="72">
        <f t="shared" si="13"/>
        <v>180800</v>
      </c>
      <c r="R117" s="72">
        <f t="shared" si="14"/>
        <v>58972</v>
      </c>
      <c r="S117" s="188">
        <f t="shared" si="15"/>
        <v>32.61725663716814</v>
      </c>
    </row>
    <row r="118" spans="2:19" ht="12.75">
      <c r="B118" s="25">
        <f aca="true" t="shared" si="16" ref="B118:B181">B117+1</f>
        <v>4</v>
      </c>
      <c r="C118" s="4"/>
      <c r="D118" s="4"/>
      <c r="E118" s="4"/>
      <c r="F118" s="32" t="s">
        <v>72</v>
      </c>
      <c r="G118" s="41">
        <v>637</v>
      </c>
      <c r="H118" s="4" t="s">
        <v>126</v>
      </c>
      <c r="I118" s="71">
        <f>128800+52000</f>
        <v>180800</v>
      </c>
      <c r="J118" s="71">
        <v>58972</v>
      </c>
      <c r="K118" s="190">
        <f t="shared" si="12"/>
        <v>32.61725663716814</v>
      </c>
      <c r="L118" s="178"/>
      <c r="M118" s="71"/>
      <c r="N118" s="71"/>
      <c r="O118" s="189"/>
      <c r="P118" s="178"/>
      <c r="Q118" s="71">
        <f t="shared" si="13"/>
        <v>180800</v>
      </c>
      <c r="R118" s="71">
        <f t="shared" si="14"/>
        <v>58972</v>
      </c>
      <c r="S118" s="188">
        <f t="shared" si="15"/>
        <v>32.61725663716814</v>
      </c>
    </row>
    <row r="119" spans="2:19" ht="15">
      <c r="B119" s="25">
        <f t="shared" si="16"/>
        <v>5</v>
      </c>
      <c r="C119" s="7">
        <v>2</v>
      </c>
      <c r="D119" s="277" t="s">
        <v>146</v>
      </c>
      <c r="E119" s="278"/>
      <c r="F119" s="278"/>
      <c r="G119" s="278"/>
      <c r="H119" s="279"/>
      <c r="I119" s="79">
        <f>I120+I123+I132</f>
        <v>94960</v>
      </c>
      <c r="J119" s="79">
        <f>J120+J123+J132</f>
        <v>36959</v>
      </c>
      <c r="K119" s="190">
        <f t="shared" si="12"/>
        <v>38.920598146588034</v>
      </c>
      <c r="L119" s="175"/>
      <c r="M119" s="79">
        <f>M123+M132</f>
        <v>849290</v>
      </c>
      <c r="N119" s="79">
        <f>N123+N132</f>
        <v>496968</v>
      </c>
      <c r="O119" s="189">
        <f>N119/M119*100</f>
        <v>58.515701350539864</v>
      </c>
      <c r="P119" s="175"/>
      <c r="Q119" s="79">
        <f t="shared" si="13"/>
        <v>944250</v>
      </c>
      <c r="R119" s="79">
        <f t="shared" si="14"/>
        <v>533927</v>
      </c>
      <c r="S119" s="188">
        <f t="shared" si="15"/>
        <v>56.54508869473127</v>
      </c>
    </row>
    <row r="120" spans="2:19" ht="15">
      <c r="B120" s="25">
        <f t="shared" si="16"/>
        <v>6</v>
      </c>
      <c r="C120" s="2"/>
      <c r="D120" s="2">
        <v>1</v>
      </c>
      <c r="E120" s="284" t="s">
        <v>152</v>
      </c>
      <c r="F120" s="278"/>
      <c r="G120" s="278"/>
      <c r="H120" s="279"/>
      <c r="I120" s="80">
        <f>I121</f>
        <v>2750</v>
      </c>
      <c r="J120" s="80">
        <f>J121</f>
        <v>1426</v>
      </c>
      <c r="K120" s="190">
        <f t="shared" si="12"/>
        <v>51.85454545454545</v>
      </c>
      <c r="L120" s="176"/>
      <c r="M120" s="80">
        <v>0</v>
      </c>
      <c r="N120" s="80"/>
      <c r="O120" s="189"/>
      <c r="P120" s="176"/>
      <c r="Q120" s="80">
        <f t="shared" si="13"/>
        <v>2750</v>
      </c>
      <c r="R120" s="80">
        <f t="shared" si="14"/>
        <v>1426</v>
      </c>
      <c r="S120" s="188">
        <f t="shared" si="15"/>
        <v>51.85454545454545</v>
      </c>
    </row>
    <row r="121" spans="2:19" ht="12.75">
      <c r="B121" s="25">
        <f t="shared" si="16"/>
        <v>7</v>
      </c>
      <c r="C121" s="9"/>
      <c r="D121" s="9"/>
      <c r="E121" s="9"/>
      <c r="F121" s="31" t="s">
        <v>72</v>
      </c>
      <c r="G121" s="40">
        <v>630</v>
      </c>
      <c r="H121" s="9" t="s">
        <v>125</v>
      </c>
      <c r="I121" s="72">
        <f>I122</f>
        <v>2750</v>
      </c>
      <c r="J121" s="72">
        <f>J122</f>
        <v>1426</v>
      </c>
      <c r="K121" s="190">
        <f t="shared" si="12"/>
        <v>51.85454545454545</v>
      </c>
      <c r="L121" s="177"/>
      <c r="M121" s="72"/>
      <c r="N121" s="72"/>
      <c r="O121" s="189"/>
      <c r="P121" s="177"/>
      <c r="Q121" s="72">
        <f t="shared" si="13"/>
        <v>2750</v>
      </c>
      <c r="R121" s="72">
        <f t="shared" si="14"/>
        <v>1426</v>
      </c>
      <c r="S121" s="188">
        <f t="shared" si="15"/>
        <v>51.85454545454545</v>
      </c>
    </row>
    <row r="122" spans="2:19" ht="12.75">
      <c r="B122" s="25">
        <f t="shared" si="16"/>
        <v>8</v>
      </c>
      <c r="C122" s="4"/>
      <c r="D122" s="4"/>
      <c r="E122" s="4"/>
      <c r="F122" s="32" t="s">
        <v>72</v>
      </c>
      <c r="G122" s="41">
        <v>637</v>
      </c>
      <c r="H122" s="4" t="s">
        <v>126</v>
      </c>
      <c r="I122" s="71">
        <v>2750</v>
      </c>
      <c r="J122" s="71">
        <v>1426</v>
      </c>
      <c r="K122" s="190">
        <f t="shared" si="12"/>
        <v>51.85454545454545</v>
      </c>
      <c r="L122" s="178"/>
      <c r="M122" s="71"/>
      <c r="N122" s="71"/>
      <c r="O122" s="189"/>
      <c r="P122" s="178"/>
      <c r="Q122" s="71">
        <f t="shared" si="13"/>
        <v>2750</v>
      </c>
      <c r="R122" s="71">
        <f t="shared" si="14"/>
        <v>1426</v>
      </c>
      <c r="S122" s="188">
        <f t="shared" si="15"/>
        <v>51.85454545454545</v>
      </c>
    </row>
    <row r="123" spans="2:19" ht="15">
      <c r="B123" s="25">
        <f t="shared" si="16"/>
        <v>9</v>
      </c>
      <c r="C123" s="2"/>
      <c r="D123" s="2">
        <v>2</v>
      </c>
      <c r="E123" s="284" t="s">
        <v>145</v>
      </c>
      <c r="F123" s="278"/>
      <c r="G123" s="278"/>
      <c r="H123" s="279"/>
      <c r="I123" s="80">
        <f>I124</f>
        <v>23410</v>
      </c>
      <c r="J123" s="80">
        <f>J124</f>
        <v>9251</v>
      </c>
      <c r="K123" s="190">
        <f t="shared" si="12"/>
        <v>39.51730029901751</v>
      </c>
      <c r="L123" s="176"/>
      <c r="M123" s="80">
        <f>M127</f>
        <v>586101</v>
      </c>
      <c r="N123" s="80">
        <f>N127</f>
        <v>456008</v>
      </c>
      <c r="O123" s="189">
        <f>N123/M123*100</f>
        <v>77.80365500144173</v>
      </c>
      <c r="P123" s="176"/>
      <c r="Q123" s="80">
        <f t="shared" si="13"/>
        <v>609511</v>
      </c>
      <c r="R123" s="80">
        <f t="shared" si="14"/>
        <v>465259</v>
      </c>
      <c r="S123" s="188">
        <f t="shared" si="15"/>
        <v>76.33315887654202</v>
      </c>
    </row>
    <row r="124" spans="2:19" ht="12.75">
      <c r="B124" s="25">
        <f t="shared" si="16"/>
        <v>10</v>
      </c>
      <c r="C124" s="9"/>
      <c r="D124" s="9"/>
      <c r="E124" s="9"/>
      <c r="F124" s="31" t="s">
        <v>72</v>
      </c>
      <c r="G124" s="40">
        <v>630</v>
      </c>
      <c r="H124" s="9" t="s">
        <v>125</v>
      </c>
      <c r="I124" s="72">
        <f>I125+I126</f>
        <v>23410</v>
      </c>
      <c r="J124" s="72">
        <f>J125+J126</f>
        <v>9251</v>
      </c>
      <c r="K124" s="190">
        <f t="shared" si="12"/>
        <v>39.51730029901751</v>
      </c>
      <c r="L124" s="177"/>
      <c r="M124" s="72"/>
      <c r="N124" s="72"/>
      <c r="O124" s="189"/>
      <c r="P124" s="177"/>
      <c r="Q124" s="72">
        <f t="shared" si="13"/>
        <v>23410</v>
      </c>
      <c r="R124" s="72">
        <f t="shared" si="14"/>
        <v>9251</v>
      </c>
      <c r="S124" s="188">
        <f t="shared" si="15"/>
        <v>39.51730029901751</v>
      </c>
    </row>
    <row r="125" spans="2:19" ht="12.75">
      <c r="B125" s="25">
        <f t="shared" si="16"/>
        <v>11</v>
      </c>
      <c r="C125" s="4"/>
      <c r="D125" s="4"/>
      <c r="E125" s="4"/>
      <c r="F125" s="32" t="s">
        <v>72</v>
      </c>
      <c r="G125" s="41">
        <v>636</v>
      </c>
      <c r="H125" s="4" t="s">
        <v>130</v>
      </c>
      <c r="I125" s="71">
        <v>9410</v>
      </c>
      <c r="J125" s="71">
        <v>4704</v>
      </c>
      <c r="K125" s="190">
        <f t="shared" si="12"/>
        <v>49.9893730074389</v>
      </c>
      <c r="L125" s="178"/>
      <c r="M125" s="71"/>
      <c r="N125" s="71"/>
      <c r="O125" s="189"/>
      <c r="P125" s="178"/>
      <c r="Q125" s="71">
        <f t="shared" si="13"/>
        <v>9410</v>
      </c>
      <c r="R125" s="71">
        <f t="shared" si="14"/>
        <v>4704</v>
      </c>
      <c r="S125" s="188">
        <f t="shared" si="15"/>
        <v>49.9893730074389</v>
      </c>
    </row>
    <row r="126" spans="2:19" ht="12.75">
      <c r="B126" s="25">
        <f t="shared" si="16"/>
        <v>12</v>
      </c>
      <c r="C126" s="4"/>
      <c r="D126" s="4"/>
      <c r="E126" s="4"/>
      <c r="F126" s="32" t="s">
        <v>72</v>
      </c>
      <c r="G126" s="41">
        <v>637</v>
      </c>
      <c r="H126" s="4" t="s">
        <v>126</v>
      </c>
      <c r="I126" s="71">
        <v>14000</v>
      </c>
      <c r="J126" s="71">
        <v>4547</v>
      </c>
      <c r="K126" s="190">
        <f t="shared" si="12"/>
        <v>32.47857142857143</v>
      </c>
      <c r="L126" s="178"/>
      <c r="M126" s="71"/>
      <c r="N126" s="71"/>
      <c r="O126" s="189"/>
      <c r="P126" s="178"/>
      <c r="Q126" s="71">
        <f t="shared" si="13"/>
        <v>14000</v>
      </c>
      <c r="R126" s="71">
        <f t="shared" si="14"/>
        <v>4547</v>
      </c>
      <c r="S126" s="188">
        <f t="shared" si="15"/>
        <v>32.47857142857143</v>
      </c>
    </row>
    <row r="127" spans="2:19" ht="12.75">
      <c r="B127" s="25">
        <f t="shared" si="16"/>
        <v>13</v>
      </c>
      <c r="C127" s="9"/>
      <c r="D127" s="9"/>
      <c r="E127" s="9"/>
      <c r="F127" s="31" t="s">
        <v>72</v>
      </c>
      <c r="G127" s="40">
        <v>710</v>
      </c>
      <c r="H127" s="9" t="s">
        <v>180</v>
      </c>
      <c r="I127" s="72"/>
      <c r="J127" s="72"/>
      <c r="K127" s="190"/>
      <c r="L127" s="177"/>
      <c r="M127" s="72">
        <f>M128</f>
        <v>586101</v>
      </c>
      <c r="N127" s="72">
        <f>N128</f>
        <v>456008</v>
      </c>
      <c r="O127" s="189">
        <f aca="true" t="shared" si="17" ref="O127:O132">N127/M127*100</f>
        <v>77.80365500144173</v>
      </c>
      <c r="P127" s="177"/>
      <c r="Q127" s="72">
        <f t="shared" si="13"/>
        <v>586101</v>
      </c>
      <c r="R127" s="72">
        <f t="shared" si="14"/>
        <v>456008</v>
      </c>
      <c r="S127" s="188">
        <f t="shared" si="15"/>
        <v>77.80365500144173</v>
      </c>
    </row>
    <row r="128" spans="2:19" ht="12.75">
      <c r="B128" s="25">
        <f t="shared" si="16"/>
        <v>14</v>
      </c>
      <c r="C128" s="4"/>
      <c r="D128" s="4"/>
      <c r="E128" s="4"/>
      <c r="F128" s="32" t="s">
        <v>72</v>
      </c>
      <c r="G128" s="41">
        <v>712</v>
      </c>
      <c r="H128" s="4" t="s">
        <v>55</v>
      </c>
      <c r="I128" s="71"/>
      <c r="J128" s="71"/>
      <c r="K128" s="190"/>
      <c r="L128" s="178"/>
      <c r="M128" s="71">
        <f>SUM(M129:M131)</f>
        <v>586101</v>
      </c>
      <c r="N128" s="71">
        <f>SUM(N129:N131)</f>
        <v>456008</v>
      </c>
      <c r="O128" s="189">
        <f t="shared" si="17"/>
        <v>77.80365500144173</v>
      </c>
      <c r="P128" s="178"/>
      <c r="Q128" s="71">
        <f t="shared" si="13"/>
        <v>586101</v>
      </c>
      <c r="R128" s="71">
        <f t="shared" si="14"/>
        <v>456008</v>
      </c>
      <c r="S128" s="188">
        <f t="shared" si="15"/>
        <v>77.80365500144173</v>
      </c>
    </row>
    <row r="129" spans="2:19" ht="12.75">
      <c r="B129" s="25">
        <f t="shared" si="16"/>
        <v>15</v>
      </c>
      <c r="C129" s="5"/>
      <c r="D129" s="5"/>
      <c r="E129" s="5"/>
      <c r="F129" s="33"/>
      <c r="G129" s="42"/>
      <c r="H129" s="5" t="s">
        <v>340</v>
      </c>
      <c r="I129" s="75"/>
      <c r="J129" s="75"/>
      <c r="K129" s="190"/>
      <c r="L129" s="99"/>
      <c r="M129" s="75">
        <v>100</v>
      </c>
      <c r="N129" s="75">
        <v>8</v>
      </c>
      <c r="O129" s="189">
        <f t="shared" si="17"/>
        <v>8</v>
      </c>
      <c r="P129" s="99"/>
      <c r="Q129" s="75">
        <f t="shared" si="13"/>
        <v>100</v>
      </c>
      <c r="R129" s="75">
        <f t="shared" si="14"/>
        <v>8</v>
      </c>
      <c r="S129" s="188">
        <f t="shared" si="15"/>
        <v>8</v>
      </c>
    </row>
    <row r="130" spans="2:19" ht="12.75">
      <c r="B130" s="25">
        <f t="shared" si="16"/>
        <v>16</v>
      </c>
      <c r="C130" s="5"/>
      <c r="D130" s="5"/>
      <c r="E130" s="5"/>
      <c r="F130" s="33"/>
      <c r="G130" s="42"/>
      <c r="H130" s="5" t="s">
        <v>428</v>
      </c>
      <c r="I130" s="75"/>
      <c r="J130" s="75"/>
      <c r="K130" s="190"/>
      <c r="L130" s="99"/>
      <c r="M130" s="75">
        <v>130000</v>
      </c>
      <c r="N130" s="75">
        <v>0</v>
      </c>
      <c r="O130" s="189">
        <f t="shared" si="17"/>
        <v>0</v>
      </c>
      <c r="P130" s="99"/>
      <c r="Q130" s="75">
        <f t="shared" si="13"/>
        <v>130000</v>
      </c>
      <c r="R130" s="75">
        <f t="shared" si="14"/>
        <v>0</v>
      </c>
      <c r="S130" s="188">
        <f t="shared" si="15"/>
        <v>0</v>
      </c>
    </row>
    <row r="131" spans="2:19" ht="12.75">
      <c r="B131" s="25">
        <f t="shared" si="16"/>
        <v>17</v>
      </c>
      <c r="C131" s="5"/>
      <c r="D131" s="5"/>
      <c r="E131" s="5"/>
      <c r="F131" s="33"/>
      <c r="G131" s="42"/>
      <c r="H131" s="5" t="s">
        <v>296</v>
      </c>
      <c r="I131" s="75"/>
      <c r="J131" s="75"/>
      <c r="K131" s="190"/>
      <c r="L131" s="99"/>
      <c r="M131" s="75">
        <f>1+456000</f>
        <v>456001</v>
      </c>
      <c r="N131" s="75">
        <v>456000</v>
      </c>
      <c r="O131" s="189">
        <f t="shared" si="17"/>
        <v>99.9997807022353</v>
      </c>
      <c r="P131" s="99"/>
      <c r="Q131" s="75">
        <f t="shared" si="13"/>
        <v>456001</v>
      </c>
      <c r="R131" s="75">
        <f t="shared" si="14"/>
        <v>456000</v>
      </c>
      <c r="S131" s="188">
        <f t="shared" si="15"/>
        <v>99.9997807022353</v>
      </c>
    </row>
    <row r="132" spans="2:19" ht="15">
      <c r="B132" s="25">
        <f t="shared" si="16"/>
        <v>18</v>
      </c>
      <c r="C132" s="2"/>
      <c r="D132" s="2">
        <v>3</v>
      </c>
      <c r="E132" s="284" t="s">
        <v>215</v>
      </c>
      <c r="F132" s="278"/>
      <c r="G132" s="278"/>
      <c r="H132" s="279"/>
      <c r="I132" s="80">
        <f>I133</f>
        <v>68800</v>
      </c>
      <c r="J132" s="80">
        <f>J133</f>
        <v>26282</v>
      </c>
      <c r="K132" s="190">
        <f t="shared" si="12"/>
        <v>38.200581395348834</v>
      </c>
      <c r="L132" s="176"/>
      <c r="M132" s="80">
        <f>M136</f>
        <v>263189</v>
      </c>
      <c r="N132" s="80">
        <f>N136</f>
        <v>40960</v>
      </c>
      <c r="O132" s="189">
        <f t="shared" si="17"/>
        <v>15.562960458073855</v>
      </c>
      <c r="P132" s="176"/>
      <c r="Q132" s="80">
        <f t="shared" si="13"/>
        <v>331989</v>
      </c>
      <c r="R132" s="80">
        <f t="shared" si="14"/>
        <v>67242</v>
      </c>
      <c r="S132" s="188">
        <f t="shared" si="15"/>
        <v>20.254285533556835</v>
      </c>
    </row>
    <row r="133" spans="2:19" ht="12.75">
      <c r="B133" s="25">
        <f t="shared" si="16"/>
        <v>19</v>
      </c>
      <c r="C133" s="9"/>
      <c r="D133" s="9"/>
      <c r="E133" s="9"/>
      <c r="F133" s="31" t="s">
        <v>72</v>
      </c>
      <c r="G133" s="40">
        <v>630</v>
      </c>
      <c r="H133" s="9" t="s">
        <v>125</v>
      </c>
      <c r="I133" s="72">
        <f>I134+I135</f>
        <v>68800</v>
      </c>
      <c r="J133" s="72">
        <f>J134+J135</f>
        <v>26282</v>
      </c>
      <c r="K133" s="190">
        <f t="shared" si="12"/>
        <v>38.200581395348834</v>
      </c>
      <c r="L133" s="177"/>
      <c r="M133" s="72"/>
      <c r="N133" s="72"/>
      <c r="O133" s="189"/>
      <c r="P133" s="177"/>
      <c r="Q133" s="72">
        <f t="shared" si="13"/>
        <v>68800</v>
      </c>
      <c r="R133" s="72">
        <f t="shared" si="14"/>
        <v>26282</v>
      </c>
      <c r="S133" s="188">
        <f t="shared" si="15"/>
        <v>38.200581395348834</v>
      </c>
    </row>
    <row r="134" spans="2:19" ht="12.75">
      <c r="B134" s="25">
        <f t="shared" si="16"/>
        <v>20</v>
      </c>
      <c r="C134" s="4"/>
      <c r="D134" s="4"/>
      <c r="E134" s="4"/>
      <c r="F134" s="32" t="s">
        <v>72</v>
      </c>
      <c r="G134" s="41">
        <v>636</v>
      </c>
      <c r="H134" s="4" t="s">
        <v>130</v>
      </c>
      <c r="I134" s="71">
        <v>56500</v>
      </c>
      <c r="J134" s="71">
        <v>24882</v>
      </c>
      <c r="K134" s="190">
        <f t="shared" si="12"/>
        <v>44.03893805309734</v>
      </c>
      <c r="L134" s="178"/>
      <c r="M134" s="71"/>
      <c r="N134" s="71"/>
      <c r="O134" s="189"/>
      <c r="P134" s="178"/>
      <c r="Q134" s="71">
        <f t="shared" si="13"/>
        <v>56500</v>
      </c>
      <c r="R134" s="71">
        <f t="shared" si="14"/>
        <v>24882</v>
      </c>
      <c r="S134" s="188">
        <f t="shared" si="15"/>
        <v>44.03893805309734</v>
      </c>
    </row>
    <row r="135" spans="2:19" ht="12.75">
      <c r="B135" s="25">
        <f t="shared" si="16"/>
        <v>21</v>
      </c>
      <c r="C135" s="4"/>
      <c r="D135" s="4"/>
      <c r="E135" s="4"/>
      <c r="F135" s="32" t="s">
        <v>72</v>
      </c>
      <c r="G135" s="41">
        <v>637</v>
      </c>
      <c r="H135" s="4" t="s">
        <v>126</v>
      </c>
      <c r="I135" s="71">
        <v>12300</v>
      </c>
      <c r="J135" s="71">
        <v>1400</v>
      </c>
      <c r="K135" s="190">
        <f t="shared" si="12"/>
        <v>11.38211382113821</v>
      </c>
      <c r="L135" s="178"/>
      <c r="M135" s="71"/>
      <c r="N135" s="71"/>
      <c r="O135" s="189"/>
      <c r="P135" s="178"/>
      <c r="Q135" s="71">
        <f t="shared" si="13"/>
        <v>12300</v>
      </c>
      <c r="R135" s="71">
        <f t="shared" si="14"/>
        <v>1400</v>
      </c>
      <c r="S135" s="188">
        <f t="shared" si="15"/>
        <v>11.38211382113821</v>
      </c>
    </row>
    <row r="136" spans="2:19" ht="12.75">
      <c r="B136" s="25">
        <f t="shared" si="16"/>
        <v>22</v>
      </c>
      <c r="C136" s="9"/>
      <c r="D136" s="9"/>
      <c r="E136" s="9"/>
      <c r="F136" s="31" t="s">
        <v>72</v>
      </c>
      <c r="G136" s="40">
        <v>710</v>
      </c>
      <c r="H136" s="9" t="s">
        <v>180</v>
      </c>
      <c r="I136" s="72"/>
      <c r="J136" s="72"/>
      <c r="K136" s="190"/>
      <c r="L136" s="177"/>
      <c r="M136" s="72">
        <f>M137</f>
        <v>263189</v>
      </c>
      <c r="N136" s="72">
        <f>N137</f>
        <v>40960</v>
      </c>
      <c r="O136" s="189">
        <f>N136/M136*100</f>
        <v>15.562960458073855</v>
      </c>
      <c r="P136" s="177"/>
      <c r="Q136" s="72">
        <f t="shared" si="13"/>
        <v>263189</v>
      </c>
      <c r="R136" s="72">
        <f t="shared" si="14"/>
        <v>40960</v>
      </c>
      <c r="S136" s="188">
        <f t="shared" si="15"/>
        <v>15.562960458073855</v>
      </c>
    </row>
    <row r="137" spans="2:19" ht="12.75">
      <c r="B137" s="25">
        <f t="shared" si="16"/>
        <v>23</v>
      </c>
      <c r="C137" s="4"/>
      <c r="D137" s="4"/>
      <c r="E137" s="4"/>
      <c r="F137" s="32" t="s">
        <v>72</v>
      </c>
      <c r="G137" s="41">
        <v>711</v>
      </c>
      <c r="H137" s="4" t="s">
        <v>218</v>
      </c>
      <c r="I137" s="71"/>
      <c r="J137" s="71"/>
      <c r="K137" s="190"/>
      <c r="L137" s="178"/>
      <c r="M137" s="71">
        <f>M138</f>
        <v>263189</v>
      </c>
      <c r="N137" s="71">
        <f>N138</f>
        <v>40960</v>
      </c>
      <c r="O137" s="189">
        <f>N137/M137*100</f>
        <v>15.562960458073855</v>
      </c>
      <c r="P137" s="178"/>
      <c r="Q137" s="71">
        <f t="shared" si="13"/>
        <v>263189</v>
      </c>
      <c r="R137" s="71">
        <f t="shared" si="14"/>
        <v>40960</v>
      </c>
      <c r="S137" s="188">
        <f t="shared" si="15"/>
        <v>15.562960458073855</v>
      </c>
    </row>
    <row r="138" spans="2:19" ht="12.75">
      <c r="B138" s="25">
        <f t="shared" si="16"/>
        <v>24</v>
      </c>
      <c r="C138" s="5"/>
      <c r="D138" s="5"/>
      <c r="E138" s="5"/>
      <c r="F138" s="33"/>
      <c r="G138" s="42"/>
      <c r="H138" s="5" t="s">
        <v>341</v>
      </c>
      <c r="I138" s="75"/>
      <c r="J138" s="75"/>
      <c r="K138" s="190"/>
      <c r="L138" s="99"/>
      <c r="M138" s="75">
        <v>263189</v>
      </c>
      <c r="N138" s="75">
        <v>40960</v>
      </c>
      <c r="O138" s="189">
        <f>N138/M138*100</f>
        <v>15.562960458073855</v>
      </c>
      <c r="P138" s="99"/>
      <c r="Q138" s="75">
        <f t="shared" si="13"/>
        <v>263189</v>
      </c>
      <c r="R138" s="75">
        <f t="shared" si="14"/>
        <v>40960</v>
      </c>
      <c r="S138" s="188">
        <f t="shared" si="15"/>
        <v>15.562960458073855</v>
      </c>
    </row>
    <row r="139" spans="2:19" ht="15">
      <c r="B139" s="25">
        <f t="shared" si="16"/>
        <v>25</v>
      </c>
      <c r="C139" s="7">
        <v>3</v>
      </c>
      <c r="D139" s="277" t="s">
        <v>153</v>
      </c>
      <c r="E139" s="278"/>
      <c r="F139" s="278"/>
      <c r="G139" s="278"/>
      <c r="H139" s="279"/>
      <c r="I139" s="79">
        <f>I140</f>
        <v>109700</v>
      </c>
      <c r="J139" s="79">
        <f>J140</f>
        <v>42702</v>
      </c>
      <c r="K139" s="190">
        <f t="shared" si="12"/>
        <v>38.92616226071103</v>
      </c>
      <c r="L139" s="175"/>
      <c r="M139" s="79">
        <v>0</v>
      </c>
      <c r="N139" s="79">
        <v>0</v>
      </c>
      <c r="O139" s="189"/>
      <c r="P139" s="175"/>
      <c r="Q139" s="79">
        <f t="shared" si="13"/>
        <v>109700</v>
      </c>
      <c r="R139" s="79">
        <f t="shared" si="14"/>
        <v>42702</v>
      </c>
      <c r="S139" s="188">
        <f t="shared" si="15"/>
        <v>38.92616226071103</v>
      </c>
    </row>
    <row r="140" spans="2:19" ht="12.75">
      <c r="B140" s="25">
        <f t="shared" si="16"/>
        <v>26</v>
      </c>
      <c r="C140" s="9"/>
      <c r="D140" s="9"/>
      <c r="E140" s="9"/>
      <c r="F140" s="31" t="s">
        <v>72</v>
      </c>
      <c r="G140" s="40">
        <v>630</v>
      </c>
      <c r="H140" s="9" t="s">
        <v>125</v>
      </c>
      <c r="I140" s="72">
        <f>I141+I142</f>
        <v>109700</v>
      </c>
      <c r="J140" s="72">
        <f>J141+J142</f>
        <v>42702</v>
      </c>
      <c r="K140" s="190">
        <f t="shared" si="12"/>
        <v>38.92616226071103</v>
      </c>
      <c r="L140" s="177"/>
      <c r="M140" s="72"/>
      <c r="N140" s="72"/>
      <c r="O140" s="189"/>
      <c r="P140" s="177"/>
      <c r="Q140" s="72">
        <f t="shared" si="13"/>
        <v>109700</v>
      </c>
      <c r="R140" s="72">
        <f t="shared" si="14"/>
        <v>42702</v>
      </c>
      <c r="S140" s="188">
        <f t="shared" si="15"/>
        <v>38.92616226071103</v>
      </c>
    </row>
    <row r="141" spans="2:19" ht="12.75">
      <c r="B141" s="25">
        <f t="shared" si="16"/>
        <v>27</v>
      </c>
      <c r="C141" s="4"/>
      <c r="D141" s="4"/>
      <c r="E141" s="4"/>
      <c r="F141" s="32" t="s">
        <v>72</v>
      </c>
      <c r="G141" s="41">
        <v>633</v>
      </c>
      <c r="H141" s="4" t="s">
        <v>129</v>
      </c>
      <c r="I141" s="71">
        <f>2700+100000</f>
        <v>102700</v>
      </c>
      <c r="J141" s="71">
        <v>40800</v>
      </c>
      <c r="K141" s="190">
        <f t="shared" si="12"/>
        <v>39.727361246348586</v>
      </c>
      <c r="L141" s="178"/>
      <c r="M141" s="71"/>
      <c r="N141" s="71"/>
      <c r="O141" s="189"/>
      <c r="P141" s="178"/>
      <c r="Q141" s="71">
        <f t="shared" si="13"/>
        <v>102700</v>
      </c>
      <c r="R141" s="71">
        <f t="shared" si="14"/>
        <v>40800</v>
      </c>
      <c r="S141" s="188">
        <f t="shared" si="15"/>
        <v>39.727361246348586</v>
      </c>
    </row>
    <row r="142" spans="2:19" ht="12.75">
      <c r="B142" s="25">
        <f t="shared" si="16"/>
        <v>28</v>
      </c>
      <c r="C142" s="4"/>
      <c r="D142" s="4"/>
      <c r="E142" s="4"/>
      <c r="F142" s="32" t="s">
        <v>72</v>
      </c>
      <c r="G142" s="41">
        <v>637</v>
      </c>
      <c r="H142" s="4" t="s">
        <v>126</v>
      </c>
      <c r="I142" s="71">
        <v>7000</v>
      </c>
      <c r="J142" s="71">
        <v>1902</v>
      </c>
      <c r="K142" s="190">
        <f t="shared" si="12"/>
        <v>27.171428571428574</v>
      </c>
      <c r="L142" s="178"/>
      <c r="M142" s="71"/>
      <c r="N142" s="71"/>
      <c r="O142" s="189"/>
      <c r="P142" s="178"/>
      <c r="Q142" s="71">
        <f t="shared" si="13"/>
        <v>7000</v>
      </c>
      <c r="R142" s="71">
        <f t="shared" si="14"/>
        <v>1902</v>
      </c>
      <c r="S142" s="188">
        <f t="shared" si="15"/>
        <v>27.171428571428574</v>
      </c>
    </row>
    <row r="143" spans="2:19" ht="15">
      <c r="B143" s="25">
        <f t="shared" si="16"/>
        <v>29</v>
      </c>
      <c r="C143" s="7">
        <v>4</v>
      </c>
      <c r="D143" s="277" t="s">
        <v>199</v>
      </c>
      <c r="E143" s="278"/>
      <c r="F143" s="278"/>
      <c r="G143" s="278"/>
      <c r="H143" s="279"/>
      <c r="I143" s="79">
        <f>I144</f>
        <v>164652</v>
      </c>
      <c r="J143" s="79">
        <f>J144</f>
        <v>47045</v>
      </c>
      <c r="K143" s="190">
        <f t="shared" si="12"/>
        <v>28.57238296528436</v>
      </c>
      <c r="L143" s="175"/>
      <c r="M143" s="79">
        <f>M150</f>
        <v>78641</v>
      </c>
      <c r="N143" s="79">
        <f>N150</f>
        <v>55292</v>
      </c>
      <c r="O143" s="189">
        <f>N143/M143*100</f>
        <v>70.30938060299336</v>
      </c>
      <c r="P143" s="175"/>
      <c r="Q143" s="79">
        <f t="shared" si="13"/>
        <v>243293</v>
      </c>
      <c r="R143" s="79">
        <f t="shared" si="14"/>
        <v>102337</v>
      </c>
      <c r="S143" s="188">
        <f t="shared" si="15"/>
        <v>42.063273501498195</v>
      </c>
    </row>
    <row r="144" spans="2:19" ht="12.75">
      <c r="B144" s="25">
        <f t="shared" si="16"/>
        <v>30</v>
      </c>
      <c r="C144" s="9"/>
      <c r="D144" s="9"/>
      <c r="E144" s="9"/>
      <c r="F144" s="31" t="s">
        <v>157</v>
      </c>
      <c r="G144" s="40">
        <v>630</v>
      </c>
      <c r="H144" s="9" t="s">
        <v>125</v>
      </c>
      <c r="I144" s="72">
        <f>SUM(I145:I149)</f>
        <v>164652</v>
      </c>
      <c r="J144" s="72">
        <f>SUM(J145:J149)</f>
        <v>47045</v>
      </c>
      <c r="K144" s="190">
        <f t="shared" si="12"/>
        <v>28.57238296528436</v>
      </c>
      <c r="L144" s="177"/>
      <c r="M144" s="72"/>
      <c r="N144" s="72"/>
      <c r="O144" s="189"/>
      <c r="P144" s="177"/>
      <c r="Q144" s="72">
        <f t="shared" si="13"/>
        <v>164652</v>
      </c>
      <c r="R144" s="72">
        <f t="shared" si="14"/>
        <v>47045</v>
      </c>
      <c r="S144" s="188">
        <f t="shared" si="15"/>
        <v>28.57238296528436</v>
      </c>
    </row>
    <row r="145" spans="2:19" ht="12.75">
      <c r="B145" s="25">
        <f t="shared" si="16"/>
        <v>31</v>
      </c>
      <c r="C145" s="4"/>
      <c r="D145" s="4"/>
      <c r="E145" s="4"/>
      <c r="F145" s="32" t="s">
        <v>157</v>
      </c>
      <c r="G145" s="41">
        <v>632</v>
      </c>
      <c r="H145" s="4" t="s">
        <v>138</v>
      </c>
      <c r="I145" s="71">
        <f>182000-6000-35000-36698-22000</f>
        <v>82302</v>
      </c>
      <c r="J145" s="71">
        <v>27601</v>
      </c>
      <c r="K145" s="190">
        <f t="shared" si="12"/>
        <v>33.53624456270807</v>
      </c>
      <c r="L145" s="178"/>
      <c r="M145" s="71"/>
      <c r="N145" s="71"/>
      <c r="O145" s="189"/>
      <c r="P145" s="178"/>
      <c r="Q145" s="71">
        <f t="shared" si="13"/>
        <v>82302</v>
      </c>
      <c r="R145" s="71">
        <f t="shared" si="14"/>
        <v>27601</v>
      </c>
      <c r="S145" s="188">
        <f t="shared" si="15"/>
        <v>33.53624456270807</v>
      </c>
    </row>
    <row r="146" spans="2:19" ht="12.75">
      <c r="B146" s="25">
        <f t="shared" si="16"/>
        <v>32</v>
      </c>
      <c r="C146" s="4"/>
      <c r="D146" s="4"/>
      <c r="E146" s="4"/>
      <c r="F146" s="32" t="s">
        <v>157</v>
      </c>
      <c r="G146" s="41">
        <v>633</v>
      </c>
      <c r="H146" s="4" t="s">
        <v>129</v>
      </c>
      <c r="I146" s="71">
        <f>12000-5000+5350</f>
        <v>12350</v>
      </c>
      <c r="J146" s="71">
        <v>2345</v>
      </c>
      <c r="K146" s="190">
        <f t="shared" si="12"/>
        <v>18.987854251012145</v>
      </c>
      <c r="L146" s="178"/>
      <c r="M146" s="71"/>
      <c r="N146" s="71"/>
      <c r="O146" s="189"/>
      <c r="P146" s="178"/>
      <c r="Q146" s="71">
        <f t="shared" si="13"/>
        <v>12350</v>
      </c>
      <c r="R146" s="71">
        <f t="shared" si="14"/>
        <v>2345</v>
      </c>
      <c r="S146" s="188">
        <f t="shared" si="15"/>
        <v>18.987854251012145</v>
      </c>
    </row>
    <row r="147" spans="2:19" ht="12.75">
      <c r="B147" s="25">
        <f t="shared" si="16"/>
        <v>33</v>
      </c>
      <c r="C147" s="4"/>
      <c r="D147" s="4"/>
      <c r="E147" s="4"/>
      <c r="F147" s="32" t="s">
        <v>157</v>
      </c>
      <c r="G147" s="41">
        <v>635</v>
      </c>
      <c r="H147" s="4" t="s">
        <v>136</v>
      </c>
      <c r="I147" s="71">
        <v>40500</v>
      </c>
      <c r="J147" s="71">
        <v>12889</v>
      </c>
      <c r="K147" s="190">
        <f t="shared" si="12"/>
        <v>31.824691358024694</v>
      </c>
      <c r="L147" s="178"/>
      <c r="M147" s="71"/>
      <c r="N147" s="71"/>
      <c r="O147" s="189"/>
      <c r="P147" s="178"/>
      <c r="Q147" s="71">
        <f t="shared" si="13"/>
        <v>40500</v>
      </c>
      <c r="R147" s="71">
        <f t="shared" si="14"/>
        <v>12889</v>
      </c>
      <c r="S147" s="188">
        <f t="shared" si="15"/>
        <v>31.824691358024694</v>
      </c>
    </row>
    <row r="148" spans="2:19" ht="12.75">
      <c r="B148" s="25">
        <f t="shared" si="16"/>
        <v>34</v>
      </c>
      <c r="C148" s="4"/>
      <c r="D148" s="4"/>
      <c r="E148" s="4"/>
      <c r="F148" s="34" t="s">
        <v>157</v>
      </c>
      <c r="G148" s="41">
        <v>635</v>
      </c>
      <c r="H148" s="4" t="s">
        <v>412</v>
      </c>
      <c r="I148" s="71">
        <v>20000</v>
      </c>
      <c r="J148" s="71">
        <v>0</v>
      </c>
      <c r="K148" s="190">
        <f t="shared" si="12"/>
        <v>0</v>
      </c>
      <c r="L148" s="178"/>
      <c r="M148" s="71"/>
      <c r="N148" s="71"/>
      <c r="O148" s="189"/>
      <c r="P148" s="178"/>
      <c r="Q148" s="71">
        <f t="shared" si="13"/>
        <v>20000</v>
      </c>
      <c r="R148" s="71">
        <f t="shared" si="14"/>
        <v>0</v>
      </c>
      <c r="S148" s="188">
        <f t="shared" si="15"/>
        <v>0</v>
      </c>
    </row>
    <row r="149" spans="2:19" ht="12.75">
      <c r="B149" s="25">
        <f t="shared" si="16"/>
        <v>35</v>
      </c>
      <c r="C149" s="4"/>
      <c r="D149" s="4"/>
      <c r="E149" s="4"/>
      <c r="F149" s="32" t="s">
        <v>157</v>
      </c>
      <c r="G149" s="41">
        <v>637</v>
      </c>
      <c r="H149" s="4" t="s">
        <v>126</v>
      </c>
      <c r="I149" s="71">
        <f>3000+5000+1500</f>
        <v>9500</v>
      </c>
      <c r="J149" s="71">
        <v>4210</v>
      </c>
      <c r="K149" s="190">
        <f t="shared" si="12"/>
        <v>44.315789473684205</v>
      </c>
      <c r="L149" s="178"/>
      <c r="M149" s="71"/>
      <c r="N149" s="71"/>
      <c r="O149" s="189"/>
      <c r="P149" s="178"/>
      <c r="Q149" s="71">
        <f>I149+M149</f>
        <v>9500</v>
      </c>
      <c r="R149" s="71">
        <f t="shared" si="14"/>
        <v>4210</v>
      </c>
      <c r="S149" s="188">
        <f t="shared" si="15"/>
        <v>44.315789473684205</v>
      </c>
    </row>
    <row r="150" spans="2:19" ht="12.75">
      <c r="B150" s="25">
        <f t="shared" si="16"/>
        <v>36</v>
      </c>
      <c r="C150" s="9"/>
      <c r="D150" s="9"/>
      <c r="E150" s="9"/>
      <c r="F150" s="31" t="s">
        <v>200</v>
      </c>
      <c r="G150" s="40">
        <v>710</v>
      </c>
      <c r="H150" s="9" t="s">
        <v>180</v>
      </c>
      <c r="I150" s="72"/>
      <c r="J150" s="72"/>
      <c r="K150" s="190"/>
      <c r="L150" s="177"/>
      <c r="M150" s="72">
        <f>M153+M151</f>
        <v>78641</v>
      </c>
      <c r="N150" s="72">
        <f>N153+N151</f>
        <v>55292</v>
      </c>
      <c r="O150" s="189">
        <f aca="true" t="shared" si="18" ref="O150:O156">N150/M150*100</f>
        <v>70.30938060299336</v>
      </c>
      <c r="P150" s="177"/>
      <c r="Q150" s="72">
        <f>I150+M150</f>
        <v>78641</v>
      </c>
      <c r="R150" s="72">
        <f t="shared" si="14"/>
        <v>55292</v>
      </c>
      <c r="S150" s="188">
        <f t="shared" si="15"/>
        <v>70.30938060299336</v>
      </c>
    </row>
    <row r="151" spans="2:19" ht="12.75">
      <c r="B151" s="25">
        <f t="shared" si="16"/>
        <v>37</v>
      </c>
      <c r="C151" s="9"/>
      <c r="D151" s="9"/>
      <c r="E151" s="9"/>
      <c r="F151" s="152" t="s">
        <v>200</v>
      </c>
      <c r="G151" s="153">
        <v>716</v>
      </c>
      <c r="H151" s="154" t="s">
        <v>225</v>
      </c>
      <c r="I151" s="155"/>
      <c r="J151" s="155"/>
      <c r="K151" s="190"/>
      <c r="L151" s="180"/>
      <c r="M151" s="71">
        <f>M152</f>
        <v>3600</v>
      </c>
      <c r="N151" s="71">
        <f>N152</f>
        <v>0</v>
      </c>
      <c r="O151" s="189">
        <f t="shared" si="18"/>
        <v>0</v>
      </c>
      <c r="P151" s="178"/>
      <c r="Q151" s="71">
        <f>I151+M151</f>
        <v>3600</v>
      </c>
      <c r="R151" s="71">
        <f t="shared" si="14"/>
        <v>0</v>
      </c>
      <c r="S151" s="188">
        <f t="shared" si="15"/>
        <v>0</v>
      </c>
    </row>
    <row r="152" spans="2:19" ht="12.75">
      <c r="B152" s="25">
        <f t="shared" si="16"/>
        <v>38</v>
      </c>
      <c r="C152" s="9"/>
      <c r="D152" s="9"/>
      <c r="E152" s="9"/>
      <c r="F152" s="156"/>
      <c r="G152" s="157"/>
      <c r="H152" s="158" t="s">
        <v>543</v>
      </c>
      <c r="I152" s="159"/>
      <c r="J152" s="159"/>
      <c r="K152" s="190"/>
      <c r="L152" s="181"/>
      <c r="M152" s="75">
        <v>3600</v>
      </c>
      <c r="N152" s="75">
        <v>0</v>
      </c>
      <c r="O152" s="189">
        <f t="shared" si="18"/>
        <v>0</v>
      </c>
      <c r="P152" s="99"/>
      <c r="Q152" s="75">
        <f>I152+M152</f>
        <v>3600</v>
      </c>
      <c r="R152" s="75">
        <f t="shared" si="14"/>
        <v>0</v>
      </c>
      <c r="S152" s="188">
        <f t="shared" si="15"/>
        <v>0</v>
      </c>
    </row>
    <row r="153" spans="2:19" ht="12.75">
      <c r="B153" s="25">
        <f t="shared" si="16"/>
        <v>39</v>
      </c>
      <c r="C153" s="4"/>
      <c r="D153" s="4"/>
      <c r="E153" s="4"/>
      <c r="F153" s="32" t="s">
        <v>200</v>
      </c>
      <c r="G153" s="41">
        <v>717</v>
      </c>
      <c r="H153" s="4" t="s">
        <v>190</v>
      </c>
      <c r="I153" s="71"/>
      <c r="J153" s="71"/>
      <c r="K153" s="190"/>
      <c r="L153" s="178"/>
      <c r="M153" s="71">
        <f>SUM(M154:M155)</f>
        <v>75041</v>
      </c>
      <c r="N153" s="71">
        <f>SUM(N154:N155)</f>
        <v>55292</v>
      </c>
      <c r="O153" s="189">
        <f t="shared" si="18"/>
        <v>73.68238696179422</v>
      </c>
      <c r="P153" s="178"/>
      <c r="Q153" s="71">
        <f aca="true" t="shared" si="19" ref="Q153:Q190">I153+M153</f>
        <v>75041</v>
      </c>
      <c r="R153" s="71">
        <f t="shared" si="14"/>
        <v>55292</v>
      </c>
      <c r="S153" s="188">
        <f t="shared" si="15"/>
        <v>73.68238696179422</v>
      </c>
    </row>
    <row r="154" spans="2:19" ht="12.75">
      <c r="B154" s="25">
        <f t="shared" si="16"/>
        <v>40</v>
      </c>
      <c r="C154" s="5"/>
      <c r="D154" s="5"/>
      <c r="E154" s="5"/>
      <c r="F154" s="33"/>
      <c r="G154" s="42"/>
      <c r="H154" s="5" t="s">
        <v>342</v>
      </c>
      <c r="I154" s="75"/>
      <c r="J154" s="75"/>
      <c r="K154" s="190"/>
      <c r="L154" s="99"/>
      <c r="M154" s="75">
        <f>94721-5380-800-18500-2000-8000</f>
        <v>60041</v>
      </c>
      <c r="N154" s="75">
        <v>55203</v>
      </c>
      <c r="O154" s="189">
        <f t="shared" si="18"/>
        <v>91.9421728485535</v>
      </c>
      <c r="P154" s="99"/>
      <c r="Q154" s="75">
        <f t="shared" si="19"/>
        <v>60041</v>
      </c>
      <c r="R154" s="75">
        <f t="shared" si="14"/>
        <v>55203</v>
      </c>
      <c r="S154" s="188">
        <f t="shared" si="15"/>
        <v>91.9421728485535</v>
      </c>
    </row>
    <row r="155" spans="2:19" ht="12.75">
      <c r="B155" s="25">
        <f t="shared" si="16"/>
        <v>41</v>
      </c>
      <c r="C155" s="5"/>
      <c r="D155" s="5"/>
      <c r="E155" s="5"/>
      <c r="F155" s="33"/>
      <c r="G155" s="42"/>
      <c r="H155" s="5" t="s">
        <v>456</v>
      </c>
      <c r="I155" s="75"/>
      <c r="J155" s="75"/>
      <c r="K155" s="190"/>
      <c r="L155" s="99"/>
      <c r="M155" s="75">
        <v>15000</v>
      </c>
      <c r="N155" s="75">
        <v>89</v>
      </c>
      <c r="O155" s="189">
        <f t="shared" si="18"/>
        <v>0.5933333333333333</v>
      </c>
      <c r="P155" s="99"/>
      <c r="Q155" s="75">
        <f t="shared" si="19"/>
        <v>15000</v>
      </c>
      <c r="R155" s="75">
        <f t="shared" si="14"/>
        <v>89</v>
      </c>
      <c r="S155" s="188">
        <f t="shared" si="15"/>
        <v>0.5933333333333333</v>
      </c>
    </row>
    <row r="156" spans="2:19" ht="15">
      <c r="B156" s="25">
        <f t="shared" si="16"/>
        <v>42</v>
      </c>
      <c r="C156" s="7">
        <v>5</v>
      </c>
      <c r="D156" s="277" t="s">
        <v>156</v>
      </c>
      <c r="E156" s="278"/>
      <c r="F156" s="278"/>
      <c r="G156" s="278"/>
      <c r="H156" s="279"/>
      <c r="I156" s="79">
        <f>I157+I158+I159+I165+I167+I168</f>
        <v>4573540</v>
      </c>
      <c r="J156" s="79">
        <f>J157+J158+J159+J165+J167+J168</f>
        <v>1768955</v>
      </c>
      <c r="K156" s="190">
        <f t="shared" si="12"/>
        <v>38.6780262116435</v>
      </c>
      <c r="L156" s="175"/>
      <c r="M156" s="79">
        <f>M169</f>
        <v>15000</v>
      </c>
      <c r="N156" s="79">
        <f>N169</f>
        <v>14255</v>
      </c>
      <c r="O156" s="189">
        <f t="shared" si="18"/>
        <v>95.03333333333333</v>
      </c>
      <c r="P156" s="175"/>
      <c r="Q156" s="79">
        <f t="shared" si="19"/>
        <v>4588540</v>
      </c>
      <c r="R156" s="79">
        <f t="shared" si="14"/>
        <v>1783210</v>
      </c>
      <c r="S156" s="188">
        <f t="shared" si="15"/>
        <v>38.86225248118137</v>
      </c>
    </row>
    <row r="157" spans="2:19" ht="12.75">
      <c r="B157" s="25">
        <f t="shared" si="16"/>
        <v>43</v>
      </c>
      <c r="C157" s="9"/>
      <c r="D157" s="9"/>
      <c r="E157" s="9"/>
      <c r="F157" s="31" t="s">
        <v>72</v>
      </c>
      <c r="G157" s="40">
        <v>610</v>
      </c>
      <c r="H157" s="9" t="s">
        <v>134</v>
      </c>
      <c r="I157" s="72">
        <v>2650000</v>
      </c>
      <c r="J157" s="72">
        <v>1059318</v>
      </c>
      <c r="K157" s="190">
        <f t="shared" si="12"/>
        <v>39.9742641509434</v>
      </c>
      <c r="L157" s="177"/>
      <c r="M157" s="72"/>
      <c r="N157" s="72"/>
      <c r="O157" s="189"/>
      <c r="P157" s="177"/>
      <c r="Q157" s="72">
        <f t="shared" si="19"/>
        <v>2650000</v>
      </c>
      <c r="R157" s="72">
        <f t="shared" si="14"/>
        <v>1059318</v>
      </c>
      <c r="S157" s="188">
        <f t="shared" si="15"/>
        <v>39.9742641509434</v>
      </c>
    </row>
    <row r="158" spans="2:19" ht="12.75">
      <c r="B158" s="25">
        <f t="shared" si="16"/>
        <v>44</v>
      </c>
      <c r="C158" s="9"/>
      <c r="D158" s="9"/>
      <c r="E158" s="9"/>
      <c r="F158" s="31" t="s">
        <v>72</v>
      </c>
      <c r="G158" s="40">
        <v>620</v>
      </c>
      <c r="H158" s="9" t="s">
        <v>128</v>
      </c>
      <c r="I158" s="72">
        <v>1065090</v>
      </c>
      <c r="J158" s="72">
        <v>405115</v>
      </c>
      <c r="K158" s="190">
        <f t="shared" si="12"/>
        <v>38.035752847177235</v>
      </c>
      <c r="L158" s="177"/>
      <c r="M158" s="72"/>
      <c r="N158" s="72"/>
      <c r="O158" s="189"/>
      <c r="P158" s="177"/>
      <c r="Q158" s="72">
        <f t="shared" si="19"/>
        <v>1065090</v>
      </c>
      <c r="R158" s="72">
        <f t="shared" si="14"/>
        <v>405115</v>
      </c>
      <c r="S158" s="188">
        <f t="shared" si="15"/>
        <v>38.035752847177235</v>
      </c>
    </row>
    <row r="159" spans="2:19" ht="12.75">
      <c r="B159" s="25">
        <f t="shared" si="16"/>
        <v>45</v>
      </c>
      <c r="C159" s="9"/>
      <c r="D159" s="9"/>
      <c r="E159" s="9"/>
      <c r="F159" s="31" t="s">
        <v>72</v>
      </c>
      <c r="G159" s="40">
        <v>630</v>
      </c>
      <c r="H159" s="9" t="s">
        <v>125</v>
      </c>
      <c r="I159" s="72">
        <f>SUM(I160:I164)</f>
        <v>665450</v>
      </c>
      <c r="J159" s="72">
        <f>SUM(J160:J164)</f>
        <v>231823</v>
      </c>
      <c r="K159" s="190">
        <f t="shared" si="12"/>
        <v>34.83702757532497</v>
      </c>
      <c r="L159" s="177"/>
      <c r="M159" s="72"/>
      <c r="N159" s="72"/>
      <c r="O159" s="189"/>
      <c r="P159" s="177"/>
      <c r="Q159" s="72">
        <f t="shared" si="19"/>
        <v>665450</v>
      </c>
      <c r="R159" s="72">
        <f t="shared" si="14"/>
        <v>231823</v>
      </c>
      <c r="S159" s="188">
        <f t="shared" si="15"/>
        <v>34.83702757532497</v>
      </c>
    </row>
    <row r="160" spans="2:19" ht="12.75">
      <c r="B160" s="25">
        <f t="shared" si="16"/>
        <v>46</v>
      </c>
      <c r="C160" s="4"/>
      <c r="D160" s="4"/>
      <c r="E160" s="4"/>
      <c r="F160" s="32" t="s">
        <v>72</v>
      </c>
      <c r="G160" s="41">
        <v>632</v>
      </c>
      <c r="H160" s="4" t="s">
        <v>138</v>
      </c>
      <c r="I160" s="71">
        <f>230000-12500-3630</f>
        <v>213870</v>
      </c>
      <c r="J160" s="71">
        <v>77046</v>
      </c>
      <c r="K160" s="190">
        <f t="shared" si="12"/>
        <v>36.02468789451536</v>
      </c>
      <c r="L160" s="178"/>
      <c r="M160" s="71"/>
      <c r="N160" s="71"/>
      <c r="O160" s="189"/>
      <c r="P160" s="178"/>
      <c r="Q160" s="71">
        <f t="shared" si="19"/>
        <v>213870</v>
      </c>
      <c r="R160" s="71">
        <f t="shared" si="14"/>
        <v>77046</v>
      </c>
      <c r="S160" s="188">
        <f t="shared" si="15"/>
        <v>36.02468789451536</v>
      </c>
    </row>
    <row r="161" spans="2:19" ht="12.75">
      <c r="B161" s="25">
        <f t="shared" si="16"/>
        <v>47</v>
      </c>
      <c r="C161" s="4"/>
      <c r="D161" s="4"/>
      <c r="E161" s="4"/>
      <c r="F161" s="32" t="s">
        <v>72</v>
      </c>
      <c r="G161" s="41">
        <v>633</v>
      </c>
      <c r="H161" s="4" t="s">
        <v>129</v>
      </c>
      <c r="I161" s="71">
        <f>45000-220</f>
        <v>44780</v>
      </c>
      <c r="J161" s="71">
        <v>15383</v>
      </c>
      <c r="K161" s="190">
        <f t="shared" si="12"/>
        <v>34.352389459580166</v>
      </c>
      <c r="L161" s="178"/>
      <c r="M161" s="71"/>
      <c r="N161" s="71"/>
      <c r="O161" s="189"/>
      <c r="P161" s="178"/>
      <c r="Q161" s="71">
        <f t="shared" si="19"/>
        <v>44780</v>
      </c>
      <c r="R161" s="71">
        <f t="shared" si="14"/>
        <v>15383</v>
      </c>
      <c r="S161" s="188">
        <f t="shared" si="15"/>
        <v>34.352389459580166</v>
      </c>
    </row>
    <row r="162" spans="2:19" ht="12.75">
      <c r="B162" s="25">
        <f t="shared" si="16"/>
        <v>48</v>
      </c>
      <c r="C162" s="4"/>
      <c r="D162" s="4"/>
      <c r="E162" s="4"/>
      <c r="F162" s="32" t="s">
        <v>72</v>
      </c>
      <c r="G162" s="41">
        <v>635</v>
      </c>
      <c r="H162" s="4" t="s">
        <v>136</v>
      </c>
      <c r="I162" s="71">
        <v>65000</v>
      </c>
      <c r="J162" s="71">
        <v>11478</v>
      </c>
      <c r="K162" s="190">
        <f t="shared" si="12"/>
        <v>17.65846153846154</v>
      </c>
      <c r="L162" s="178"/>
      <c r="M162" s="71"/>
      <c r="N162" s="71"/>
      <c r="O162" s="189"/>
      <c r="P162" s="178"/>
      <c r="Q162" s="71">
        <f t="shared" si="19"/>
        <v>65000</v>
      </c>
      <c r="R162" s="71">
        <f t="shared" si="14"/>
        <v>11478</v>
      </c>
      <c r="S162" s="188">
        <f t="shared" si="15"/>
        <v>17.65846153846154</v>
      </c>
    </row>
    <row r="163" spans="2:19" ht="12.75">
      <c r="B163" s="25">
        <f t="shared" si="16"/>
        <v>49</v>
      </c>
      <c r="C163" s="4"/>
      <c r="D163" s="4"/>
      <c r="E163" s="4"/>
      <c r="F163" s="32" t="s">
        <v>72</v>
      </c>
      <c r="G163" s="41">
        <v>637</v>
      </c>
      <c r="H163" s="4" t="s">
        <v>126</v>
      </c>
      <c r="I163" s="71">
        <f>309500+5800-2500-5000</f>
        <v>307800</v>
      </c>
      <c r="J163" s="71">
        <f>127916-J164</f>
        <v>122826</v>
      </c>
      <c r="K163" s="190">
        <f t="shared" si="12"/>
        <v>39.90448343079922</v>
      </c>
      <c r="L163" s="178"/>
      <c r="M163" s="71"/>
      <c r="N163" s="71"/>
      <c r="O163" s="189"/>
      <c r="P163" s="178"/>
      <c r="Q163" s="71">
        <f t="shared" si="19"/>
        <v>307800</v>
      </c>
      <c r="R163" s="71">
        <f t="shared" si="14"/>
        <v>122826</v>
      </c>
      <c r="S163" s="188">
        <f t="shared" si="15"/>
        <v>39.90448343079922</v>
      </c>
    </row>
    <row r="164" spans="2:19" ht="12.75">
      <c r="B164" s="25">
        <f t="shared" si="16"/>
        <v>50</v>
      </c>
      <c r="C164" s="4"/>
      <c r="D164" s="4"/>
      <c r="E164" s="4"/>
      <c r="F164" s="32" t="s">
        <v>72</v>
      </c>
      <c r="G164" s="41">
        <v>637</v>
      </c>
      <c r="H164" s="4" t="s">
        <v>343</v>
      </c>
      <c r="I164" s="71">
        <v>34000</v>
      </c>
      <c r="J164" s="71">
        <v>5090</v>
      </c>
      <c r="K164" s="190">
        <f t="shared" si="12"/>
        <v>14.97058823529412</v>
      </c>
      <c r="L164" s="178"/>
      <c r="M164" s="71"/>
      <c r="N164" s="71"/>
      <c r="O164" s="189"/>
      <c r="P164" s="178"/>
      <c r="Q164" s="71">
        <f t="shared" si="19"/>
        <v>34000</v>
      </c>
      <c r="R164" s="71">
        <f t="shared" si="14"/>
        <v>5090</v>
      </c>
      <c r="S164" s="188">
        <f t="shared" si="15"/>
        <v>14.97058823529412</v>
      </c>
    </row>
    <row r="165" spans="2:19" ht="12.75">
      <c r="B165" s="25">
        <f t="shared" si="16"/>
        <v>51</v>
      </c>
      <c r="C165" s="9"/>
      <c r="D165" s="9"/>
      <c r="E165" s="9"/>
      <c r="F165" s="31" t="s">
        <v>258</v>
      </c>
      <c r="G165" s="40">
        <v>630</v>
      </c>
      <c r="H165" s="9" t="s">
        <v>125</v>
      </c>
      <c r="I165" s="72">
        <f>I166</f>
        <v>20000</v>
      </c>
      <c r="J165" s="72">
        <f>J166</f>
        <v>7852</v>
      </c>
      <c r="K165" s="190">
        <f t="shared" si="12"/>
        <v>39.26</v>
      </c>
      <c r="L165" s="177"/>
      <c r="M165" s="72"/>
      <c r="N165" s="72"/>
      <c r="O165" s="189"/>
      <c r="P165" s="177"/>
      <c r="Q165" s="72">
        <f t="shared" si="19"/>
        <v>20000</v>
      </c>
      <c r="R165" s="72">
        <f t="shared" si="14"/>
        <v>7852</v>
      </c>
      <c r="S165" s="188">
        <f t="shared" si="15"/>
        <v>39.26</v>
      </c>
    </row>
    <row r="166" spans="2:19" ht="12.75">
      <c r="B166" s="25">
        <f t="shared" si="16"/>
        <v>52</v>
      </c>
      <c r="C166" s="4"/>
      <c r="D166" s="4"/>
      <c r="E166" s="4"/>
      <c r="F166" s="32" t="s">
        <v>258</v>
      </c>
      <c r="G166" s="41">
        <v>637</v>
      </c>
      <c r="H166" s="4" t="s">
        <v>126</v>
      </c>
      <c r="I166" s="71">
        <v>20000</v>
      </c>
      <c r="J166" s="71">
        <v>7852</v>
      </c>
      <c r="K166" s="190">
        <f t="shared" si="12"/>
        <v>39.26</v>
      </c>
      <c r="L166" s="178"/>
      <c r="M166" s="71"/>
      <c r="N166" s="71"/>
      <c r="O166" s="189"/>
      <c r="P166" s="178"/>
      <c r="Q166" s="71">
        <f t="shared" si="19"/>
        <v>20000</v>
      </c>
      <c r="R166" s="71">
        <f t="shared" si="14"/>
        <v>7852</v>
      </c>
      <c r="S166" s="188">
        <f t="shared" si="15"/>
        <v>39.26</v>
      </c>
    </row>
    <row r="167" spans="2:19" ht="12.75">
      <c r="B167" s="25">
        <f t="shared" si="16"/>
        <v>53</v>
      </c>
      <c r="C167" s="9"/>
      <c r="D167" s="9"/>
      <c r="E167" s="9"/>
      <c r="F167" s="31" t="s">
        <v>216</v>
      </c>
      <c r="G167" s="40">
        <v>650</v>
      </c>
      <c r="H167" s="9" t="s">
        <v>217</v>
      </c>
      <c r="I167" s="72">
        <f>180000-7000-20000</f>
        <v>153000</v>
      </c>
      <c r="J167" s="72">
        <v>53817</v>
      </c>
      <c r="K167" s="190">
        <f t="shared" si="12"/>
        <v>35.174509803921566</v>
      </c>
      <c r="L167" s="177"/>
      <c r="M167" s="72"/>
      <c r="N167" s="72"/>
      <c r="O167" s="189"/>
      <c r="P167" s="177"/>
      <c r="Q167" s="72">
        <f t="shared" si="19"/>
        <v>153000</v>
      </c>
      <c r="R167" s="72">
        <f t="shared" si="14"/>
        <v>53817</v>
      </c>
      <c r="S167" s="188">
        <f t="shared" si="15"/>
        <v>35.174509803921566</v>
      </c>
    </row>
    <row r="168" spans="2:19" ht="12.75">
      <c r="B168" s="25">
        <f t="shared" si="16"/>
        <v>54</v>
      </c>
      <c r="C168" s="9"/>
      <c r="D168" s="9"/>
      <c r="E168" s="9"/>
      <c r="F168" s="31" t="s">
        <v>72</v>
      </c>
      <c r="G168" s="40">
        <v>640</v>
      </c>
      <c r="H168" s="9" t="s">
        <v>132</v>
      </c>
      <c r="I168" s="72">
        <v>20000</v>
      </c>
      <c r="J168" s="72">
        <v>11030</v>
      </c>
      <c r="K168" s="190">
        <f t="shared" si="12"/>
        <v>55.15</v>
      </c>
      <c r="L168" s="177"/>
      <c r="M168" s="72"/>
      <c r="N168" s="72"/>
      <c r="O168" s="189"/>
      <c r="P168" s="177"/>
      <c r="Q168" s="72">
        <f t="shared" si="19"/>
        <v>20000</v>
      </c>
      <c r="R168" s="72">
        <f t="shared" si="14"/>
        <v>11030</v>
      </c>
      <c r="S168" s="188">
        <f t="shared" si="15"/>
        <v>55.15</v>
      </c>
    </row>
    <row r="169" spans="2:19" ht="12.75">
      <c r="B169" s="25">
        <f t="shared" si="16"/>
        <v>55</v>
      </c>
      <c r="C169" s="9"/>
      <c r="D169" s="9"/>
      <c r="E169" s="9"/>
      <c r="F169" s="31" t="s">
        <v>72</v>
      </c>
      <c r="G169" s="40">
        <v>710</v>
      </c>
      <c r="H169" s="9" t="s">
        <v>180</v>
      </c>
      <c r="I169" s="72"/>
      <c r="J169" s="72"/>
      <c r="K169" s="190"/>
      <c r="L169" s="177"/>
      <c r="M169" s="72">
        <f>M170</f>
        <v>15000</v>
      </c>
      <c r="N169" s="72">
        <f>N170</f>
        <v>14255</v>
      </c>
      <c r="O169" s="189">
        <f>N169/M169*100</f>
        <v>95.03333333333333</v>
      </c>
      <c r="P169" s="177"/>
      <c r="Q169" s="72">
        <f t="shared" si="19"/>
        <v>15000</v>
      </c>
      <c r="R169" s="72">
        <f t="shared" si="14"/>
        <v>14255</v>
      </c>
      <c r="S169" s="188">
        <f t="shared" si="15"/>
        <v>95.03333333333333</v>
      </c>
    </row>
    <row r="170" spans="2:19" ht="12.75">
      <c r="B170" s="25">
        <f t="shared" si="16"/>
        <v>56</v>
      </c>
      <c r="C170" s="4"/>
      <c r="D170" s="4"/>
      <c r="E170" s="4"/>
      <c r="F170" s="32" t="s">
        <v>72</v>
      </c>
      <c r="G170" s="41">
        <v>717</v>
      </c>
      <c r="H170" s="4" t="s">
        <v>190</v>
      </c>
      <c r="I170" s="71"/>
      <c r="J170" s="71"/>
      <c r="K170" s="190"/>
      <c r="L170" s="178"/>
      <c r="M170" s="71">
        <f>M171</f>
        <v>15000</v>
      </c>
      <c r="N170" s="71">
        <f>N171</f>
        <v>14255</v>
      </c>
      <c r="O170" s="189">
        <f>N170/M170*100</f>
        <v>95.03333333333333</v>
      </c>
      <c r="P170" s="178"/>
      <c r="Q170" s="71">
        <f t="shared" si="19"/>
        <v>15000</v>
      </c>
      <c r="R170" s="71">
        <f t="shared" si="14"/>
        <v>14255</v>
      </c>
      <c r="S170" s="188">
        <f t="shared" si="15"/>
        <v>95.03333333333333</v>
      </c>
    </row>
    <row r="171" spans="2:19" ht="12.75">
      <c r="B171" s="25">
        <f t="shared" si="16"/>
        <v>57</v>
      </c>
      <c r="C171" s="5"/>
      <c r="D171" s="5"/>
      <c r="E171" s="5"/>
      <c r="F171" s="33"/>
      <c r="G171" s="42"/>
      <c r="H171" s="5" t="s">
        <v>344</v>
      </c>
      <c r="I171" s="75"/>
      <c r="J171" s="75"/>
      <c r="K171" s="190"/>
      <c r="L171" s="99"/>
      <c r="M171" s="75">
        <f>11500+3500</f>
        <v>15000</v>
      </c>
      <c r="N171" s="75">
        <v>14255</v>
      </c>
      <c r="O171" s="189">
        <f>N171/M171*100</f>
        <v>95.03333333333333</v>
      </c>
      <c r="P171" s="99"/>
      <c r="Q171" s="75">
        <f t="shared" si="19"/>
        <v>15000</v>
      </c>
      <c r="R171" s="75">
        <f t="shared" si="14"/>
        <v>14255</v>
      </c>
      <c r="S171" s="188">
        <f t="shared" si="15"/>
        <v>95.03333333333333</v>
      </c>
    </row>
    <row r="172" spans="2:19" ht="15">
      <c r="B172" s="25">
        <f t="shared" si="16"/>
        <v>58</v>
      </c>
      <c r="C172" s="7">
        <v>6</v>
      </c>
      <c r="D172" s="277" t="s">
        <v>281</v>
      </c>
      <c r="E172" s="278"/>
      <c r="F172" s="278"/>
      <c r="G172" s="278"/>
      <c r="H172" s="279"/>
      <c r="I172" s="79">
        <f>I173+I175</f>
        <v>13000</v>
      </c>
      <c r="J172" s="79">
        <f>J173+J175</f>
        <v>2577</v>
      </c>
      <c r="K172" s="190">
        <f t="shared" si="12"/>
        <v>19.823076923076925</v>
      </c>
      <c r="L172" s="175"/>
      <c r="M172" s="79">
        <v>0</v>
      </c>
      <c r="N172" s="79"/>
      <c r="O172" s="189"/>
      <c r="P172" s="175"/>
      <c r="Q172" s="79">
        <f t="shared" si="19"/>
        <v>13000</v>
      </c>
      <c r="R172" s="79">
        <f t="shared" si="14"/>
        <v>2577</v>
      </c>
      <c r="S172" s="188">
        <f t="shared" si="15"/>
        <v>19.823076923076925</v>
      </c>
    </row>
    <row r="173" spans="2:19" ht="12.75">
      <c r="B173" s="25">
        <f t="shared" si="16"/>
        <v>59</v>
      </c>
      <c r="C173" s="9"/>
      <c r="D173" s="9"/>
      <c r="E173" s="9"/>
      <c r="F173" s="31" t="s">
        <v>72</v>
      </c>
      <c r="G173" s="40">
        <v>630</v>
      </c>
      <c r="H173" s="9" t="s">
        <v>125</v>
      </c>
      <c r="I173" s="72">
        <f>I174</f>
        <v>5000</v>
      </c>
      <c r="J173" s="72">
        <f>J174</f>
        <v>1383</v>
      </c>
      <c r="K173" s="190">
        <f t="shared" si="12"/>
        <v>27.66</v>
      </c>
      <c r="L173" s="177"/>
      <c r="M173" s="72"/>
      <c r="N173" s="72"/>
      <c r="O173" s="189"/>
      <c r="P173" s="177"/>
      <c r="Q173" s="72">
        <f t="shared" si="19"/>
        <v>5000</v>
      </c>
      <c r="R173" s="72">
        <f t="shared" si="14"/>
        <v>1383</v>
      </c>
      <c r="S173" s="188">
        <f t="shared" si="15"/>
        <v>27.66</v>
      </c>
    </row>
    <row r="174" spans="2:19" ht="12.75">
      <c r="B174" s="25">
        <f t="shared" si="16"/>
        <v>60</v>
      </c>
      <c r="C174" s="4"/>
      <c r="D174" s="4"/>
      <c r="E174" s="4"/>
      <c r="F174" s="32" t="s">
        <v>72</v>
      </c>
      <c r="G174" s="41">
        <v>631</v>
      </c>
      <c r="H174" s="4" t="s">
        <v>131</v>
      </c>
      <c r="I174" s="71">
        <v>5000</v>
      </c>
      <c r="J174" s="71">
        <v>1383</v>
      </c>
      <c r="K174" s="190">
        <f t="shared" si="12"/>
        <v>27.66</v>
      </c>
      <c r="L174" s="178"/>
      <c r="M174" s="71"/>
      <c r="N174" s="71"/>
      <c r="O174" s="189"/>
      <c r="P174" s="178"/>
      <c r="Q174" s="71">
        <f t="shared" si="19"/>
        <v>5000</v>
      </c>
      <c r="R174" s="71">
        <f t="shared" si="14"/>
        <v>1383</v>
      </c>
      <c r="S174" s="188">
        <f t="shared" si="15"/>
        <v>27.66</v>
      </c>
    </row>
    <row r="175" spans="2:19" ht="12.75">
      <c r="B175" s="25">
        <f t="shared" si="16"/>
        <v>61</v>
      </c>
      <c r="C175" s="9"/>
      <c r="D175" s="9"/>
      <c r="E175" s="9"/>
      <c r="F175" s="31" t="s">
        <v>162</v>
      </c>
      <c r="G175" s="40">
        <v>630</v>
      </c>
      <c r="H175" s="9" t="s">
        <v>125</v>
      </c>
      <c r="I175" s="72">
        <f>I176</f>
        <v>8000</v>
      </c>
      <c r="J175" s="72">
        <f>J176</f>
        <v>1194</v>
      </c>
      <c r="K175" s="190">
        <f t="shared" si="12"/>
        <v>14.924999999999999</v>
      </c>
      <c r="L175" s="177"/>
      <c r="M175" s="72"/>
      <c r="N175" s="72"/>
      <c r="O175" s="189"/>
      <c r="P175" s="177"/>
      <c r="Q175" s="72">
        <f t="shared" si="19"/>
        <v>8000</v>
      </c>
      <c r="R175" s="72">
        <f t="shared" si="14"/>
        <v>1194</v>
      </c>
      <c r="S175" s="188">
        <f t="shared" si="15"/>
        <v>14.924999999999999</v>
      </c>
    </row>
    <row r="176" spans="2:19" ht="12.75">
      <c r="B176" s="25">
        <f t="shared" si="16"/>
        <v>62</v>
      </c>
      <c r="C176" s="4"/>
      <c r="D176" s="4"/>
      <c r="E176" s="4"/>
      <c r="F176" s="32" t="s">
        <v>162</v>
      </c>
      <c r="G176" s="41">
        <v>637</v>
      </c>
      <c r="H176" s="4" t="s">
        <v>126</v>
      </c>
      <c r="I176" s="71">
        <v>8000</v>
      </c>
      <c r="J176" s="71">
        <v>1194</v>
      </c>
      <c r="K176" s="190">
        <f t="shared" si="12"/>
        <v>14.924999999999999</v>
      </c>
      <c r="L176" s="178"/>
      <c r="M176" s="71"/>
      <c r="N176" s="71"/>
      <c r="O176" s="189"/>
      <c r="P176" s="178"/>
      <c r="Q176" s="71">
        <f t="shared" si="19"/>
        <v>8000</v>
      </c>
      <c r="R176" s="71">
        <f t="shared" si="14"/>
        <v>1194</v>
      </c>
      <c r="S176" s="188">
        <f t="shared" si="15"/>
        <v>14.924999999999999</v>
      </c>
    </row>
    <row r="177" spans="2:19" ht="15">
      <c r="B177" s="25">
        <f t="shared" si="16"/>
        <v>63</v>
      </c>
      <c r="C177" s="7">
        <v>7</v>
      </c>
      <c r="D177" s="277" t="s">
        <v>139</v>
      </c>
      <c r="E177" s="278"/>
      <c r="F177" s="278"/>
      <c r="G177" s="278"/>
      <c r="H177" s="279"/>
      <c r="I177" s="79">
        <f>I178</f>
        <v>251000</v>
      </c>
      <c r="J177" s="79">
        <f>J178</f>
        <v>89098</v>
      </c>
      <c r="K177" s="190">
        <f t="shared" si="12"/>
        <v>35.49721115537849</v>
      </c>
      <c r="L177" s="175"/>
      <c r="M177" s="79">
        <f>M184</f>
        <v>20000</v>
      </c>
      <c r="N177" s="79">
        <f>N184</f>
        <v>702</v>
      </c>
      <c r="O177" s="189">
        <f>N177/M177*100</f>
        <v>3.51</v>
      </c>
      <c r="P177" s="175"/>
      <c r="Q177" s="79">
        <f t="shared" si="19"/>
        <v>271000</v>
      </c>
      <c r="R177" s="79">
        <f t="shared" si="14"/>
        <v>89800</v>
      </c>
      <c r="S177" s="188">
        <f t="shared" si="15"/>
        <v>33.13653136531365</v>
      </c>
    </row>
    <row r="178" spans="2:19" ht="12.75">
      <c r="B178" s="25">
        <f t="shared" si="16"/>
        <v>64</v>
      </c>
      <c r="C178" s="9"/>
      <c r="D178" s="9"/>
      <c r="E178" s="9"/>
      <c r="F178" s="31" t="s">
        <v>72</v>
      </c>
      <c r="G178" s="40">
        <v>630</v>
      </c>
      <c r="H178" s="9" t="s">
        <v>125</v>
      </c>
      <c r="I178" s="72">
        <f>SUM(I179:I183)</f>
        <v>251000</v>
      </c>
      <c r="J178" s="72">
        <f>SUM(J179:J183)</f>
        <v>89098</v>
      </c>
      <c r="K178" s="190">
        <f t="shared" si="12"/>
        <v>35.49721115537849</v>
      </c>
      <c r="L178" s="177"/>
      <c r="M178" s="72"/>
      <c r="N178" s="72"/>
      <c r="O178" s="189"/>
      <c r="P178" s="177"/>
      <c r="Q178" s="72">
        <f t="shared" si="19"/>
        <v>251000</v>
      </c>
      <c r="R178" s="72">
        <f t="shared" si="14"/>
        <v>89098</v>
      </c>
      <c r="S178" s="188">
        <f t="shared" si="15"/>
        <v>35.49721115537849</v>
      </c>
    </row>
    <row r="179" spans="2:19" ht="12.75">
      <c r="B179" s="25">
        <f t="shared" si="16"/>
        <v>65</v>
      </c>
      <c r="C179" s="4"/>
      <c r="D179" s="4"/>
      <c r="E179" s="4"/>
      <c r="F179" s="32" t="s">
        <v>72</v>
      </c>
      <c r="G179" s="41">
        <v>632</v>
      </c>
      <c r="H179" s="4" t="s">
        <v>138</v>
      </c>
      <c r="I179" s="71">
        <v>4500</v>
      </c>
      <c r="J179" s="71">
        <v>927</v>
      </c>
      <c r="K179" s="190">
        <f aca="true" t="shared" si="20" ref="K179:K190">J179/I179*100</f>
        <v>20.599999999999998</v>
      </c>
      <c r="L179" s="178"/>
      <c r="M179" s="71"/>
      <c r="N179" s="71"/>
      <c r="O179" s="189"/>
      <c r="P179" s="178"/>
      <c r="Q179" s="71">
        <f t="shared" si="19"/>
        <v>4500</v>
      </c>
      <c r="R179" s="71">
        <f aca="true" t="shared" si="21" ref="R179:R193">J179+N179</f>
        <v>927</v>
      </c>
      <c r="S179" s="188">
        <f aca="true" t="shared" si="22" ref="S179:S193">R179/Q179*100</f>
        <v>20.599999999999998</v>
      </c>
    </row>
    <row r="180" spans="2:19" ht="12.75">
      <c r="B180" s="25">
        <f t="shared" si="16"/>
        <v>66</v>
      </c>
      <c r="C180" s="4"/>
      <c r="D180" s="4"/>
      <c r="E180" s="4"/>
      <c r="F180" s="32" t="s">
        <v>72</v>
      </c>
      <c r="G180" s="41">
        <v>633</v>
      </c>
      <c r="H180" s="4" t="s">
        <v>129</v>
      </c>
      <c r="I180" s="71">
        <v>20000</v>
      </c>
      <c r="J180" s="71">
        <v>0</v>
      </c>
      <c r="K180" s="190">
        <f t="shared" si="20"/>
        <v>0</v>
      </c>
      <c r="L180" s="178"/>
      <c r="M180" s="71"/>
      <c r="N180" s="71"/>
      <c r="O180" s="189"/>
      <c r="P180" s="178"/>
      <c r="Q180" s="71">
        <f t="shared" si="19"/>
        <v>20000</v>
      </c>
      <c r="R180" s="71">
        <f t="shared" si="21"/>
        <v>0</v>
      </c>
      <c r="S180" s="188">
        <f t="shared" si="22"/>
        <v>0</v>
      </c>
    </row>
    <row r="181" spans="2:19" ht="12.75">
      <c r="B181" s="25">
        <f t="shared" si="16"/>
        <v>67</v>
      </c>
      <c r="C181" s="4"/>
      <c r="D181" s="4"/>
      <c r="E181" s="4"/>
      <c r="F181" s="32" t="s">
        <v>72</v>
      </c>
      <c r="G181" s="41">
        <v>635</v>
      </c>
      <c r="H181" s="4" t="s">
        <v>136</v>
      </c>
      <c r="I181" s="71">
        <f>162500+8000</f>
        <v>170500</v>
      </c>
      <c r="J181" s="71">
        <v>75310</v>
      </c>
      <c r="K181" s="190">
        <f t="shared" si="20"/>
        <v>44.17008797653959</v>
      </c>
      <c r="L181" s="178"/>
      <c r="M181" s="71"/>
      <c r="N181" s="71"/>
      <c r="O181" s="189"/>
      <c r="P181" s="178"/>
      <c r="Q181" s="71">
        <f t="shared" si="19"/>
        <v>170500</v>
      </c>
      <c r="R181" s="71">
        <f t="shared" si="21"/>
        <v>75310</v>
      </c>
      <c r="S181" s="188">
        <f t="shared" si="22"/>
        <v>44.17008797653959</v>
      </c>
    </row>
    <row r="182" spans="2:19" ht="12.75">
      <c r="B182" s="25">
        <f aca="true" t="shared" si="23" ref="B182:B193">B181+1</f>
        <v>68</v>
      </c>
      <c r="C182" s="4"/>
      <c r="D182" s="4"/>
      <c r="E182" s="4"/>
      <c r="F182" s="32" t="s">
        <v>72</v>
      </c>
      <c r="G182" s="41">
        <v>636</v>
      </c>
      <c r="H182" s="4" t="s">
        <v>130</v>
      </c>
      <c r="I182" s="71">
        <v>36000</v>
      </c>
      <c r="J182" s="71">
        <v>10513</v>
      </c>
      <c r="K182" s="190">
        <f t="shared" si="20"/>
        <v>29.202777777777776</v>
      </c>
      <c r="L182" s="178"/>
      <c r="M182" s="71"/>
      <c r="N182" s="71"/>
      <c r="O182" s="189"/>
      <c r="P182" s="178"/>
      <c r="Q182" s="71">
        <f t="shared" si="19"/>
        <v>36000</v>
      </c>
      <c r="R182" s="71">
        <f t="shared" si="21"/>
        <v>10513</v>
      </c>
      <c r="S182" s="188">
        <f t="shared" si="22"/>
        <v>29.202777777777776</v>
      </c>
    </row>
    <row r="183" spans="2:19" ht="12.75">
      <c r="B183" s="25">
        <f t="shared" si="23"/>
        <v>69</v>
      </c>
      <c r="C183" s="4"/>
      <c r="D183" s="4"/>
      <c r="E183" s="4"/>
      <c r="F183" s="32" t="s">
        <v>72</v>
      </c>
      <c r="G183" s="41">
        <v>637</v>
      </c>
      <c r="H183" s="4" t="s">
        <v>126</v>
      </c>
      <c r="I183" s="71">
        <v>20000</v>
      </c>
      <c r="J183" s="71">
        <v>2348</v>
      </c>
      <c r="K183" s="190">
        <f t="shared" si="20"/>
        <v>11.74</v>
      </c>
      <c r="L183" s="178"/>
      <c r="M183" s="71"/>
      <c r="N183" s="71"/>
      <c r="O183" s="189"/>
      <c r="P183" s="178"/>
      <c r="Q183" s="71">
        <f t="shared" si="19"/>
        <v>20000</v>
      </c>
      <c r="R183" s="71">
        <f t="shared" si="21"/>
        <v>2348</v>
      </c>
      <c r="S183" s="188">
        <f t="shared" si="22"/>
        <v>11.74</v>
      </c>
    </row>
    <row r="184" spans="2:19" ht="12.75">
      <c r="B184" s="25">
        <f t="shared" si="23"/>
        <v>70</v>
      </c>
      <c r="C184" s="9"/>
      <c r="D184" s="9"/>
      <c r="E184" s="9"/>
      <c r="F184" s="31" t="s">
        <v>72</v>
      </c>
      <c r="G184" s="40">
        <v>710</v>
      </c>
      <c r="H184" s="9" t="s">
        <v>180</v>
      </c>
      <c r="I184" s="72"/>
      <c r="J184" s="72"/>
      <c r="K184" s="190"/>
      <c r="L184" s="177"/>
      <c r="M184" s="72">
        <f>M185</f>
        <v>20000</v>
      </c>
      <c r="N184" s="72">
        <f>N185</f>
        <v>702</v>
      </c>
      <c r="O184" s="189">
        <f aca="true" t="shared" si="24" ref="O184:O193">N184/M184*100</f>
        <v>3.51</v>
      </c>
      <c r="P184" s="177"/>
      <c r="Q184" s="72">
        <f t="shared" si="19"/>
        <v>20000</v>
      </c>
      <c r="R184" s="72">
        <f t="shared" si="21"/>
        <v>702</v>
      </c>
      <c r="S184" s="188">
        <f t="shared" si="22"/>
        <v>3.51</v>
      </c>
    </row>
    <row r="185" spans="2:19" ht="12.75">
      <c r="B185" s="25">
        <f t="shared" si="23"/>
        <v>71</v>
      </c>
      <c r="C185" s="4"/>
      <c r="D185" s="4"/>
      <c r="E185" s="4"/>
      <c r="F185" s="32" t="s">
        <v>72</v>
      </c>
      <c r="G185" s="41">
        <v>713</v>
      </c>
      <c r="H185" s="4" t="s">
        <v>228</v>
      </c>
      <c r="I185" s="71"/>
      <c r="J185" s="71"/>
      <c r="K185" s="190"/>
      <c r="L185" s="178"/>
      <c r="M185" s="71">
        <f>M186</f>
        <v>20000</v>
      </c>
      <c r="N185" s="71">
        <f>N186</f>
        <v>702</v>
      </c>
      <c r="O185" s="189">
        <f t="shared" si="24"/>
        <v>3.51</v>
      </c>
      <c r="P185" s="178"/>
      <c r="Q185" s="71">
        <f t="shared" si="19"/>
        <v>20000</v>
      </c>
      <c r="R185" s="71">
        <f t="shared" si="21"/>
        <v>702</v>
      </c>
      <c r="S185" s="188">
        <f t="shared" si="22"/>
        <v>3.51</v>
      </c>
    </row>
    <row r="186" spans="2:19" ht="12.75">
      <c r="B186" s="25">
        <f t="shared" si="23"/>
        <v>72</v>
      </c>
      <c r="C186" s="5"/>
      <c r="D186" s="5"/>
      <c r="E186" s="5"/>
      <c r="F186" s="33"/>
      <c r="G186" s="42"/>
      <c r="H186" s="5" t="s">
        <v>345</v>
      </c>
      <c r="I186" s="75"/>
      <c r="J186" s="75"/>
      <c r="K186" s="190"/>
      <c r="L186" s="99"/>
      <c r="M186" s="75">
        <v>20000</v>
      </c>
      <c r="N186" s="75">
        <v>702</v>
      </c>
      <c r="O186" s="189">
        <f t="shared" si="24"/>
        <v>3.51</v>
      </c>
      <c r="P186" s="99"/>
      <c r="Q186" s="75">
        <f t="shared" si="19"/>
        <v>20000</v>
      </c>
      <c r="R186" s="75">
        <f t="shared" si="21"/>
        <v>702</v>
      </c>
      <c r="S186" s="188">
        <f t="shared" si="22"/>
        <v>3.51</v>
      </c>
    </row>
    <row r="187" spans="2:19" ht="15">
      <c r="B187" s="25">
        <f t="shared" si="23"/>
        <v>73</v>
      </c>
      <c r="C187" s="7">
        <v>8</v>
      </c>
      <c r="D187" s="277" t="s">
        <v>260</v>
      </c>
      <c r="E187" s="278"/>
      <c r="F187" s="278"/>
      <c r="G187" s="278"/>
      <c r="H187" s="279"/>
      <c r="I187" s="79">
        <f>I188</f>
        <v>43000</v>
      </c>
      <c r="J187" s="79">
        <f>J188</f>
        <v>13788</v>
      </c>
      <c r="K187" s="190">
        <f t="shared" si="20"/>
        <v>32.06511627906977</v>
      </c>
      <c r="L187" s="175"/>
      <c r="M187" s="79">
        <f>M191</f>
        <v>13000</v>
      </c>
      <c r="N187" s="79">
        <f>N191</f>
        <v>13000</v>
      </c>
      <c r="O187" s="189">
        <f t="shared" si="24"/>
        <v>100</v>
      </c>
      <c r="P187" s="175"/>
      <c r="Q187" s="79">
        <f t="shared" si="19"/>
        <v>56000</v>
      </c>
      <c r="R187" s="79">
        <f t="shared" si="21"/>
        <v>26788</v>
      </c>
      <c r="S187" s="188">
        <f t="shared" si="22"/>
        <v>47.83571428571429</v>
      </c>
    </row>
    <row r="188" spans="2:19" ht="12.75">
      <c r="B188" s="25">
        <f t="shared" si="23"/>
        <v>74</v>
      </c>
      <c r="C188" s="9"/>
      <c r="D188" s="9"/>
      <c r="E188" s="9"/>
      <c r="F188" s="31" t="s">
        <v>72</v>
      </c>
      <c r="G188" s="40">
        <v>630</v>
      </c>
      <c r="H188" s="9" t="s">
        <v>125</v>
      </c>
      <c r="I188" s="72">
        <f>SUM(I189:I190)</f>
        <v>43000</v>
      </c>
      <c r="J188" s="72">
        <f>SUM(J189:J190)</f>
        <v>13788</v>
      </c>
      <c r="K188" s="190">
        <f t="shared" si="20"/>
        <v>32.06511627906977</v>
      </c>
      <c r="L188" s="177"/>
      <c r="M188" s="72"/>
      <c r="N188" s="72"/>
      <c r="O188" s="189"/>
      <c r="P188" s="177"/>
      <c r="Q188" s="72">
        <f t="shared" si="19"/>
        <v>43000</v>
      </c>
      <c r="R188" s="72">
        <f t="shared" si="21"/>
        <v>13788</v>
      </c>
      <c r="S188" s="188">
        <f t="shared" si="22"/>
        <v>32.06511627906977</v>
      </c>
    </row>
    <row r="189" spans="2:19" ht="12.75">
      <c r="B189" s="25">
        <f t="shared" si="23"/>
        <v>75</v>
      </c>
      <c r="C189" s="4"/>
      <c r="D189" s="4"/>
      <c r="E189" s="4"/>
      <c r="F189" s="32" t="s">
        <v>72</v>
      </c>
      <c r="G189" s="41">
        <v>634</v>
      </c>
      <c r="H189" s="4" t="s">
        <v>135</v>
      </c>
      <c r="I189" s="71">
        <v>42250</v>
      </c>
      <c r="J189" s="71">
        <v>13781</v>
      </c>
      <c r="K189" s="190">
        <f t="shared" si="20"/>
        <v>32.61775147928994</v>
      </c>
      <c r="L189" s="178"/>
      <c r="M189" s="71"/>
      <c r="N189" s="71"/>
      <c r="O189" s="189"/>
      <c r="P189" s="178"/>
      <c r="Q189" s="71">
        <f t="shared" si="19"/>
        <v>42250</v>
      </c>
      <c r="R189" s="71">
        <f t="shared" si="21"/>
        <v>13781</v>
      </c>
      <c r="S189" s="188">
        <f t="shared" si="22"/>
        <v>32.61775147928994</v>
      </c>
    </row>
    <row r="190" spans="2:19" ht="12.75">
      <c r="B190" s="25">
        <f t="shared" si="23"/>
        <v>76</v>
      </c>
      <c r="C190" s="4"/>
      <c r="D190" s="4"/>
      <c r="E190" s="4"/>
      <c r="F190" s="32" t="s">
        <v>72</v>
      </c>
      <c r="G190" s="41">
        <v>637</v>
      </c>
      <c r="H190" s="4" t="s">
        <v>126</v>
      </c>
      <c r="I190" s="71">
        <v>750</v>
      </c>
      <c r="J190" s="71">
        <v>7</v>
      </c>
      <c r="K190" s="190">
        <f t="shared" si="20"/>
        <v>0.9333333333333335</v>
      </c>
      <c r="L190" s="178"/>
      <c r="M190" s="71"/>
      <c r="N190" s="71"/>
      <c r="O190" s="189"/>
      <c r="P190" s="178"/>
      <c r="Q190" s="71">
        <f t="shared" si="19"/>
        <v>750</v>
      </c>
      <c r="R190" s="71">
        <f t="shared" si="21"/>
        <v>7</v>
      </c>
      <c r="S190" s="188">
        <f t="shared" si="22"/>
        <v>0.9333333333333335</v>
      </c>
    </row>
    <row r="191" spans="2:19" ht="12.75">
      <c r="B191" s="25">
        <f t="shared" si="23"/>
        <v>77</v>
      </c>
      <c r="C191" s="9"/>
      <c r="D191" s="9"/>
      <c r="E191" s="9"/>
      <c r="F191" s="31" t="s">
        <v>72</v>
      </c>
      <c r="G191" s="40">
        <v>710</v>
      </c>
      <c r="H191" s="9" t="s">
        <v>180</v>
      </c>
      <c r="I191" s="72"/>
      <c r="J191" s="72"/>
      <c r="K191" s="190"/>
      <c r="L191" s="177"/>
      <c r="M191" s="72">
        <f>M192</f>
        <v>13000</v>
      </c>
      <c r="N191" s="72">
        <f>N192</f>
        <v>13000</v>
      </c>
      <c r="O191" s="189">
        <f t="shared" si="24"/>
        <v>100</v>
      </c>
      <c r="P191" s="177"/>
      <c r="Q191" s="72">
        <f>I191+M191</f>
        <v>13000</v>
      </c>
      <c r="R191" s="72">
        <f t="shared" si="21"/>
        <v>13000</v>
      </c>
      <c r="S191" s="188">
        <f t="shared" si="22"/>
        <v>100</v>
      </c>
    </row>
    <row r="192" spans="2:19" ht="12.75">
      <c r="B192" s="25">
        <f t="shared" si="23"/>
        <v>78</v>
      </c>
      <c r="C192" s="4"/>
      <c r="D192" s="4"/>
      <c r="E192" s="4"/>
      <c r="F192" s="32" t="s">
        <v>72</v>
      </c>
      <c r="G192" s="41">
        <v>714</v>
      </c>
      <c r="H192" s="4" t="s">
        <v>181</v>
      </c>
      <c r="I192" s="71"/>
      <c r="J192" s="71"/>
      <c r="K192" s="190"/>
      <c r="L192" s="178"/>
      <c r="M192" s="71">
        <f>M193</f>
        <v>13000</v>
      </c>
      <c r="N192" s="71">
        <f>N193</f>
        <v>13000</v>
      </c>
      <c r="O192" s="189">
        <f t="shared" si="24"/>
        <v>100</v>
      </c>
      <c r="P192" s="178"/>
      <c r="Q192" s="71">
        <f>I192+M192</f>
        <v>13000</v>
      </c>
      <c r="R192" s="71">
        <f t="shared" si="21"/>
        <v>13000</v>
      </c>
      <c r="S192" s="188">
        <f t="shared" si="22"/>
        <v>100</v>
      </c>
    </row>
    <row r="193" spans="2:19" ht="12.75">
      <c r="B193" s="25">
        <f t="shared" si="23"/>
        <v>79</v>
      </c>
      <c r="C193" s="5"/>
      <c r="D193" s="5"/>
      <c r="E193" s="5"/>
      <c r="F193" s="33"/>
      <c r="G193" s="42"/>
      <c r="H193" s="5" t="s">
        <v>346</v>
      </c>
      <c r="I193" s="75"/>
      <c r="J193" s="75"/>
      <c r="K193" s="212"/>
      <c r="L193" s="99"/>
      <c r="M193" s="75">
        <v>13000</v>
      </c>
      <c r="N193" s="75">
        <v>13000</v>
      </c>
      <c r="O193" s="189">
        <f t="shared" si="24"/>
        <v>100</v>
      </c>
      <c r="P193" s="99"/>
      <c r="Q193" s="75">
        <f>I193+M193</f>
        <v>13000</v>
      </c>
      <c r="R193" s="75">
        <f t="shared" si="21"/>
        <v>13000</v>
      </c>
      <c r="S193" s="188">
        <f t="shared" si="22"/>
        <v>100</v>
      </c>
    </row>
    <row r="220" spans="2:17" ht="27.75" thickBot="1">
      <c r="B220" s="280" t="s">
        <v>22</v>
      </c>
      <c r="C220" s="280"/>
      <c r="D220" s="280"/>
      <c r="E220" s="280"/>
      <c r="F220" s="280"/>
      <c r="G220" s="280"/>
      <c r="H220" s="280"/>
      <c r="I220" s="280"/>
      <c r="J220" s="280"/>
      <c r="K220" s="280"/>
      <c r="L220" s="280"/>
      <c r="M220" s="280"/>
      <c r="N220" s="280"/>
      <c r="O220" s="280"/>
      <c r="P220" s="280"/>
      <c r="Q220" s="280"/>
    </row>
    <row r="221" spans="2:19" ht="12.75" customHeight="1" thickBot="1">
      <c r="B221" s="269" t="s">
        <v>309</v>
      </c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170"/>
      <c r="Q221" s="274" t="s">
        <v>515</v>
      </c>
      <c r="R221" s="265" t="s">
        <v>569</v>
      </c>
      <c r="S221" s="266" t="s">
        <v>564</v>
      </c>
    </row>
    <row r="222" spans="2:19" ht="12.75" customHeight="1" thickBot="1">
      <c r="B222" s="275"/>
      <c r="C222" s="273" t="s">
        <v>118</v>
      </c>
      <c r="D222" s="273" t="s">
        <v>119</v>
      </c>
      <c r="E222" s="276"/>
      <c r="F222" s="273" t="s">
        <v>120</v>
      </c>
      <c r="G222" s="270" t="s">
        <v>121</v>
      </c>
      <c r="H222" s="271" t="s">
        <v>122</v>
      </c>
      <c r="I222" s="267" t="s">
        <v>565</v>
      </c>
      <c r="J222" s="267" t="s">
        <v>566</v>
      </c>
      <c r="K222" s="268" t="s">
        <v>564</v>
      </c>
      <c r="L222" s="168"/>
      <c r="M222" s="272" t="s">
        <v>567</v>
      </c>
      <c r="N222" s="267" t="s">
        <v>568</v>
      </c>
      <c r="O222" s="268" t="s">
        <v>564</v>
      </c>
      <c r="P222" s="171"/>
      <c r="Q222" s="274"/>
      <c r="R222" s="265"/>
      <c r="S222" s="266"/>
    </row>
    <row r="223" spans="2:19" ht="13.5" thickBot="1">
      <c r="B223" s="275"/>
      <c r="C223" s="273"/>
      <c r="D223" s="273"/>
      <c r="E223" s="276"/>
      <c r="F223" s="273"/>
      <c r="G223" s="270"/>
      <c r="H223" s="271"/>
      <c r="I223" s="267"/>
      <c r="J223" s="267"/>
      <c r="K223" s="268"/>
      <c r="L223" s="168"/>
      <c r="M223" s="272"/>
      <c r="N223" s="267"/>
      <c r="O223" s="268"/>
      <c r="P223" s="171"/>
      <c r="Q223" s="274"/>
      <c r="R223" s="265"/>
      <c r="S223" s="266"/>
    </row>
    <row r="224" spans="2:19" ht="13.5" thickBot="1">
      <c r="B224" s="275"/>
      <c r="C224" s="273"/>
      <c r="D224" s="273"/>
      <c r="E224" s="276"/>
      <c r="F224" s="273"/>
      <c r="G224" s="270"/>
      <c r="H224" s="271"/>
      <c r="I224" s="267"/>
      <c r="J224" s="267"/>
      <c r="K224" s="268"/>
      <c r="L224" s="168"/>
      <c r="M224" s="272"/>
      <c r="N224" s="267"/>
      <c r="O224" s="268"/>
      <c r="P224" s="171"/>
      <c r="Q224" s="274"/>
      <c r="R224" s="265"/>
      <c r="S224" s="266"/>
    </row>
    <row r="225" spans="2:19" ht="13.5" thickBot="1">
      <c r="B225" s="275"/>
      <c r="C225" s="273"/>
      <c r="D225" s="273"/>
      <c r="E225" s="276"/>
      <c r="F225" s="273"/>
      <c r="G225" s="270"/>
      <c r="H225" s="271"/>
      <c r="I225" s="267"/>
      <c r="J225" s="267"/>
      <c r="K225" s="268"/>
      <c r="L225" s="169"/>
      <c r="M225" s="272"/>
      <c r="N225" s="267"/>
      <c r="O225" s="268"/>
      <c r="P225" s="171"/>
      <c r="Q225" s="274"/>
      <c r="R225" s="265"/>
      <c r="S225" s="266"/>
    </row>
    <row r="226" spans="2:19" ht="16.5" thickTop="1">
      <c r="B226" s="28">
        <v>1</v>
      </c>
      <c r="C226" s="281" t="s">
        <v>22</v>
      </c>
      <c r="D226" s="282"/>
      <c r="E226" s="282"/>
      <c r="F226" s="282"/>
      <c r="G226" s="282"/>
      <c r="H226" s="283"/>
      <c r="I226" s="81">
        <f>I227+I232+I244+I254+I265+I277+I288</f>
        <v>780073</v>
      </c>
      <c r="J226" s="81">
        <f>J227+J232+J244+J254+J265+J277+J288</f>
        <v>295326</v>
      </c>
      <c r="K226" s="189">
        <f aca="true" t="shared" si="25" ref="K226:K289">J226/I226*100</f>
        <v>37.85876450024549</v>
      </c>
      <c r="L226" s="179"/>
      <c r="M226" s="81">
        <f>M227+M232+M244+M254+M265+M277+M288</f>
        <v>57400</v>
      </c>
      <c r="N226" s="81">
        <f>N227+N232+N244+N254+N265+N277+N288</f>
        <v>17277</v>
      </c>
      <c r="O226" s="189">
        <f>N226/M226*100</f>
        <v>30.0993031358885</v>
      </c>
      <c r="P226" s="179"/>
      <c r="Q226" s="81">
        <f aca="true" t="shared" si="26" ref="Q226:Q283">I226+M226</f>
        <v>837473</v>
      </c>
      <c r="R226" s="81">
        <f aca="true" t="shared" si="27" ref="R226:R289">J226+N226</f>
        <v>312603</v>
      </c>
      <c r="S226" s="188">
        <f aca="true" t="shared" si="28" ref="S226:S289">R226/Q226*100</f>
        <v>37.32693471908945</v>
      </c>
    </row>
    <row r="227" spans="2:19" ht="15">
      <c r="B227" s="28">
        <v>2</v>
      </c>
      <c r="C227" s="7">
        <v>1</v>
      </c>
      <c r="D227" s="277" t="s">
        <v>188</v>
      </c>
      <c r="E227" s="278"/>
      <c r="F227" s="278"/>
      <c r="G227" s="278"/>
      <c r="H227" s="279"/>
      <c r="I227" s="79">
        <f>I228+I229</f>
        <v>31630</v>
      </c>
      <c r="J227" s="79">
        <f>J228+J229</f>
        <v>8977</v>
      </c>
      <c r="K227" s="190">
        <f t="shared" si="25"/>
        <v>28.38128359152703</v>
      </c>
      <c r="L227" s="175"/>
      <c r="M227" s="79">
        <v>0</v>
      </c>
      <c r="N227" s="79">
        <v>0</v>
      </c>
      <c r="O227" s="189"/>
      <c r="P227" s="175"/>
      <c r="Q227" s="79">
        <f t="shared" si="26"/>
        <v>31630</v>
      </c>
      <c r="R227" s="79">
        <f t="shared" si="27"/>
        <v>8977</v>
      </c>
      <c r="S227" s="188">
        <f t="shared" si="28"/>
        <v>28.38128359152703</v>
      </c>
    </row>
    <row r="228" spans="2:19" ht="12.75">
      <c r="B228" s="25">
        <v>3</v>
      </c>
      <c r="C228" s="9"/>
      <c r="D228" s="9"/>
      <c r="E228" s="9"/>
      <c r="F228" s="31" t="s">
        <v>73</v>
      </c>
      <c r="G228" s="40">
        <v>620</v>
      </c>
      <c r="H228" s="9" t="s">
        <v>128</v>
      </c>
      <c r="I228" s="72">
        <v>4530</v>
      </c>
      <c r="J228" s="72">
        <v>1733</v>
      </c>
      <c r="K228" s="190">
        <f t="shared" si="25"/>
        <v>38.256070640176596</v>
      </c>
      <c r="L228" s="177"/>
      <c r="M228" s="72"/>
      <c r="N228" s="72"/>
      <c r="O228" s="189"/>
      <c r="P228" s="177"/>
      <c r="Q228" s="72">
        <f t="shared" si="26"/>
        <v>4530</v>
      </c>
      <c r="R228" s="72">
        <f t="shared" si="27"/>
        <v>1733</v>
      </c>
      <c r="S228" s="188">
        <f t="shared" si="28"/>
        <v>38.256070640176596</v>
      </c>
    </row>
    <row r="229" spans="2:19" ht="12.75">
      <c r="B229" s="25">
        <f>B228+1</f>
        <v>4</v>
      </c>
      <c r="C229" s="9"/>
      <c r="D229" s="9"/>
      <c r="E229" s="9"/>
      <c r="F229" s="31" t="s">
        <v>73</v>
      </c>
      <c r="G229" s="40">
        <v>630</v>
      </c>
      <c r="H229" s="9" t="s">
        <v>125</v>
      </c>
      <c r="I229" s="72">
        <f>I230+I231</f>
        <v>27100</v>
      </c>
      <c r="J229" s="72">
        <f>J230+J231</f>
        <v>7244</v>
      </c>
      <c r="K229" s="190">
        <f t="shared" si="25"/>
        <v>26.730627306273064</v>
      </c>
      <c r="L229" s="177"/>
      <c r="M229" s="72"/>
      <c r="N229" s="72"/>
      <c r="O229" s="189"/>
      <c r="P229" s="177"/>
      <c r="Q229" s="72">
        <f t="shared" si="26"/>
        <v>27100</v>
      </c>
      <c r="R229" s="72">
        <f t="shared" si="27"/>
        <v>7244</v>
      </c>
      <c r="S229" s="188">
        <f t="shared" si="28"/>
        <v>26.730627306273064</v>
      </c>
    </row>
    <row r="230" spans="2:19" ht="12.75">
      <c r="B230" s="25">
        <f aca="true" t="shared" si="29" ref="B230:B293">B229+1</f>
        <v>5</v>
      </c>
      <c r="C230" s="4"/>
      <c r="D230" s="4"/>
      <c r="E230" s="4"/>
      <c r="F230" s="32" t="s">
        <v>73</v>
      </c>
      <c r="G230" s="41">
        <v>633</v>
      </c>
      <c r="H230" s="4" t="s">
        <v>129</v>
      </c>
      <c r="I230" s="71">
        <v>3100</v>
      </c>
      <c r="J230" s="71">
        <v>390</v>
      </c>
      <c r="K230" s="190">
        <f t="shared" si="25"/>
        <v>12.580645161290322</v>
      </c>
      <c r="L230" s="178"/>
      <c r="M230" s="71"/>
      <c r="N230" s="71"/>
      <c r="O230" s="189"/>
      <c r="P230" s="178"/>
      <c r="Q230" s="71">
        <f t="shared" si="26"/>
        <v>3100</v>
      </c>
      <c r="R230" s="71">
        <f t="shared" si="27"/>
        <v>390</v>
      </c>
      <c r="S230" s="188">
        <f t="shared" si="28"/>
        <v>12.580645161290322</v>
      </c>
    </row>
    <row r="231" spans="2:19" ht="12.75">
      <c r="B231" s="25">
        <f t="shared" si="29"/>
        <v>6</v>
      </c>
      <c r="C231" s="4"/>
      <c r="D231" s="4"/>
      <c r="E231" s="4"/>
      <c r="F231" s="32" t="s">
        <v>73</v>
      </c>
      <c r="G231" s="41">
        <v>637</v>
      </c>
      <c r="H231" s="4" t="s">
        <v>126</v>
      </c>
      <c r="I231" s="71">
        <v>24000</v>
      </c>
      <c r="J231" s="71">
        <v>6854</v>
      </c>
      <c r="K231" s="190">
        <f t="shared" si="25"/>
        <v>28.558333333333337</v>
      </c>
      <c r="L231" s="178"/>
      <c r="M231" s="71"/>
      <c r="N231" s="71"/>
      <c r="O231" s="189"/>
      <c r="P231" s="178"/>
      <c r="Q231" s="71">
        <f t="shared" si="26"/>
        <v>24000</v>
      </c>
      <c r="R231" s="71">
        <f t="shared" si="27"/>
        <v>6854</v>
      </c>
      <c r="S231" s="188">
        <f t="shared" si="28"/>
        <v>28.558333333333337</v>
      </c>
    </row>
    <row r="232" spans="2:19" ht="15">
      <c r="B232" s="25">
        <f t="shared" si="29"/>
        <v>7</v>
      </c>
      <c r="C232" s="7">
        <v>2</v>
      </c>
      <c r="D232" s="277" t="s">
        <v>192</v>
      </c>
      <c r="E232" s="278"/>
      <c r="F232" s="278"/>
      <c r="G232" s="278"/>
      <c r="H232" s="279"/>
      <c r="I232" s="79">
        <f>I233+I234+I235+I242+I243</f>
        <v>141953</v>
      </c>
      <c r="J232" s="79">
        <f>J233+J234+J235+J242+J243</f>
        <v>53176</v>
      </c>
      <c r="K232" s="190">
        <f t="shared" si="25"/>
        <v>37.46028615104999</v>
      </c>
      <c r="L232" s="175"/>
      <c r="M232" s="79">
        <v>0</v>
      </c>
      <c r="N232" s="79">
        <v>0</v>
      </c>
      <c r="O232" s="189"/>
      <c r="P232" s="175"/>
      <c r="Q232" s="79">
        <f t="shared" si="26"/>
        <v>141953</v>
      </c>
      <c r="R232" s="79">
        <f t="shared" si="27"/>
        <v>53176</v>
      </c>
      <c r="S232" s="188">
        <f t="shared" si="28"/>
        <v>37.46028615104999</v>
      </c>
    </row>
    <row r="233" spans="2:19" ht="12.75">
      <c r="B233" s="25">
        <f t="shared" si="29"/>
        <v>8</v>
      </c>
      <c r="C233" s="9"/>
      <c r="D233" s="9"/>
      <c r="E233" s="9"/>
      <c r="F233" s="31" t="s">
        <v>191</v>
      </c>
      <c r="G233" s="40">
        <v>610</v>
      </c>
      <c r="H233" s="9" t="s">
        <v>134</v>
      </c>
      <c r="I233" s="72">
        <v>81000</v>
      </c>
      <c r="J233" s="72">
        <v>26775</v>
      </c>
      <c r="K233" s="190">
        <f t="shared" si="25"/>
        <v>33.05555555555556</v>
      </c>
      <c r="L233" s="177"/>
      <c r="M233" s="72"/>
      <c r="N233" s="72"/>
      <c r="O233" s="189"/>
      <c r="P233" s="177"/>
      <c r="Q233" s="72">
        <f t="shared" si="26"/>
        <v>81000</v>
      </c>
      <c r="R233" s="72">
        <f t="shared" si="27"/>
        <v>26775</v>
      </c>
      <c r="S233" s="188">
        <f t="shared" si="28"/>
        <v>33.05555555555556</v>
      </c>
    </row>
    <row r="234" spans="2:19" ht="12.75">
      <c r="B234" s="25">
        <f t="shared" si="29"/>
        <v>9</v>
      </c>
      <c r="C234" s="9"/>
      <c r="D234" s="9"/>
      <c r="E234" s="9"/>
      <c r="F234" s="31" t="s">
        <v>191</v>
      </c>
      <c r="G234" s="40">
        <v>620</v>
      </c>
      <c r="H234" s="9" t="s">
        <v>128</v>
      </c>
      <c r="I234" s="72">
        <v>31000</v>
      </c>
      <c r="J234" s="72">
        <v>10539</v>
      </c>
      <c r="K234" s="190">
        <f t="shared" si="25"/>
        <v>33.99677419354838</v>
      </c>
      <c r="L234" s="177"/>
      <c r="M234" s="72"/>
      <c r="N234" s="72"/>
      <c r="O234" s="189"/>
      <c r="P234" s="177"/>
      <c r="Q234" s="72">
        <f t="shared" si="26"/>
        <v>31000</v>
      </c>
      <c r="R234" s="72">
        <f t="shared" si="27"/>
        <v>10539</v>
      </c>
      <c r="S234" s="188">
        <f t="shared" si="28"/>
        <v>33.99677419354838</v>
      </c>
    </row>
    <row r="235" spans="2:19" ht="12.75">
      <c r="B235" s="25">
        <f t="shared" si="29"/>
        <v>10</v>
      </c>
      <c r="C235" s="9"/>
      <c r="D235" s="9"/>
      <c r="E235" s="9"/>
      <c r="F235" s="31" t="s">
        <v>191</v>
      </c>
      <c r="G235" s="40">
        <v>630</v>
      </c>
      <c r="H235" s="9" t="s">
        <v>125</v>
      </c>
      <c r="I235" s="72">
        <f>SUM(I236:I241)</f>
        <v>17375</v>
      </c>
      <c r="J235" s="72">
        <f>SUM(J236:J241)</f>
        <v>3884</v>
      </c>
      <c r="K235" s="190">
        <f t="shared" si="25"/>
        <v>22.353956834532372</v>
      </c>
      <c r="L235" s="177"/>
      <c r="M235" s="72"/>
      <c r="N235" s="72"/>
      <c r="O235" s="189"/>
      <c r="P235" s="177"/>
      <c r="Q235" s="72">
        <f t="shared" si="26"/>
        <v>17375</v>
      </c>
      <c r="R235" s="72">
        <f t="shared" si="27"/>
        <v>3884</v>
      </c>
      <c r="S235" s="188">
        <f t="shared" si="28"/>
        <v>22.353956834532372</v>
      </c>
    </row>
    <row r="236" spans="2:19" ht="12.75">
      <c r="B236" s="25">
        <f t="shared" si="29"/>
        <v>11</v>
      </c>
      <c r="C236" s="4"/>
      <c r="D236" s="4"/>
      <c r="E236" s="4"/>
      <c r="F236" s="32" t="s">
        <v>191</v>
      </c>
      <c r="G236" s="41">
        <v>631</v>
      </c>
      <c r="H236" s="4" t="s">
        <v>131</v>
      </c>
      <c r="I236" s="71">
        <v>200</v>
      </c>
      <c r="J236" s="71">
        <v>0</v>
      </c>
      <c r="K236" s="190">
        <f t="shared" si="25"/>
        <v>0</v>
      </c>
      <c r="L236" s="178"/>
      <c r="M236" s="71"/>
      <c r="N236" s="71"/>
      <c r="O236" s="189"/>
      <c r="P236" s="178"/>
      <c r="Q236" s="71">
        <f t="shared" si="26"/>
        <v>200</v>
      </c>
      <c r="R236" s="71">
        <f t="shared" si="27"/>
        <v>0</v>
      </c>
      <c r="S236" s="188">
        <f t="shared" si="28"/>
        <v>0</v>
      </c>
    </row>
    <row r="237" spans="2:19" ht="12.75">
      <c r="B237" s="25">
        <f t="shared" si="29"/>
        <v>12</v>
      </c>
      <c r="C237" s="4"/>
      <c r="D237" s="4"/>
      <c r="E237" s="4"/>
      <c r="F237" s="32" t="s">
        <v>191</v>
      </c>
      <c r="G237" s="41">
        <v>632</v>
      </c>
      <c r="H237" s="4" t="s">
        <v>138</v>
      </c>
      <c r="I237" s="71">
        <v>2100</v>
      </c>
      <c r="J237" s="71">
        <v>1204</v>
      </c>
      <c r="K237" s="190">
        <f t="shared" si="25"/>
        <v>57.333333333333336</v>
      </c>
      <c r="L237" s="178"/>
      <c r="M237" s="71"/>
      <c r="N237" s="71"/>
      <c r="O237" s="189"/>
      <c r="P237" s="178"/>
      <c r="Q237" s="71">
        <f t="shared" si="26"/>
        <v>2100</v>
      </c>
      <c r="R237" s="71">
        <f t="shared" si="27"/>
        <v>1204</v>
      </c>
      <c r="S237" s="188">
        <f t="shared" si="28"/>
        <v>57.333333333333336</v>
      </c>
    </row>
    <row r="238" spans="2:19" ht="12.75">
      <c r="B238" s="25">
        <f t="shared" si="29"/>
        <v>13</v>
      </c>
      <c r="C238" s="4"/>
      <c r="D238" s="4"/>
      <c r="E238" s="4"/>
      <c r="F238" s="32" t="s">
        <v>191</v>
      </c>
      <c r="G238" s="41">
        <v>633</v>
      </c>
      <c r="H238" s="4" t="s">
        <v>129</v>
      </c>
      <c r="I238" s="71">
        <v>5500</v>
      </c>
      <c r="J238" s="71">
        <v>563</v>
      </c>
      <c r="K238" s="190">
        <f t="shared" si="25"/>
        <v>10.236363636363636</v>
      </c>
      <c r="L238" s="178"/>
      <c r="M238" s="71"/>
      <c r="N238" s="71"/>
      <c r="O238" s="189"/>
      <c r="P238" s="178"/>
      <c r="Q238" s="71">
        <f t="shared" si="26"/>
        <v>5500</v>
      </c>
      <c r="R238" s="71">
        <f t="shared" si="27"/>
        <v>563</v>
      </c>
      <c r="S238" s="188">
        <f t="shared" si="28"/>
        <v>10.236363636363636</v>
      </c>
    </row>
    <row r="239" spans="2:19" ht="12.75">
      <c r="B239" s="25">
        <f t="shared" si="29"/>
        <v>14</v>
      </c>
      <c r="C239" s="4"/>
      <c r="D239" s="4"/>
      <c r="E239" s="4"/>
      <c r="F239" s="32" t="s">
        <v>191</v>
      </c>
      <c r="G239" s="41">
        <v>635</v>
      </c>
      <c r="H239" s="4" t="s">
        <v>136</v>
      </c>
      <c r="I239" s="71">
        <v>100</v>
      </c>
      <c r="J239" s="71">
        <v>0</v>
      </c>
      <c r="K239" s="190">
        <f t="shared" si="25"/>
        <v>0</v>
      </c>
      <c r="L239" s="178"/>
      <c r="M239" s="71"/>
      <c r="N239" s="71"/>
      <c r="O239" s="189"/>
      <c r="P239" s="178"/>
      <c r="Q239" s="71">
        <f t="shared" si="26"/>
        <v>100</v>
      </c>
      <c r="R239" s="71">
        <f t="shared" si="27"/>
        <v>0</v>
      </c>
      <c r="S239" s="188">
        <f t="shared" si="28"/>
        <v>0</v>
      </c>
    </row>
    <row r="240" spans="2:19" ht="12.75">
      <c r="B240" s="25">
        <f t="shared" si="29"/>
        <v>15</v>
      </c>
      <c r="C240" s="4"/>
      <c r="D240" s="4"/>
      <c r="E240" s="4"/>
      <c r="F240" s="32" t="s">
        <v>191</v>
      </c>
      <c r="G240" s="41">
        <v>637</v>
      </c>
      <c r="H240" s="4" t="s">
        <v>126</v>
      </c>
      <c r="I240" s="71">
        <v>8100</v>
      </c>
      <c r="J240" s="71">
        <f>2117-J241</f>
        <v>2076</v>
      </c>
      <c r="K240" s="190">
        <f t="shared" si="25"/>
        <v>25.62962962962963</v>
      </c>
      <c r="L240" s="178"/>
      <c r="M240" s="71"/>
      <c r="N240" s="71"/>
      <c r="O240" s="189"/>
      <c r="P240" s="178"/>
      <c r="Q240" s="71">
        <f t="shared" si="26"/>
        <v>8100</v>
      </c>
      <c r="R240" s="71">
        <f t="shared" si="27"/>
        <v>2076</v>
      </c>
      <c r="S240" s="188">
        <f t="shared" si="28"/>
        <v>25.62962962962963</v>
      </c>
    </row>
    <row r="241" spans="2:19" ht="12.75">
      <c r="B241" s="25">
        <f t="shared" si="29"/>
        <v>16</v>
      </c>
      <c r="C241" s="4"/>
      <c r="D241" s="4"/>
      <c r="E241" s="4"/>
      <c r="F241" s="32" t="s">
        <v>191</v>
      </c>
      <c r="G241" s="41">
        <v>637</v>
      </c>
      <c r="H241" s="4" t="s">
        <v>295</v>
      </c>
      <c r="I241" s="71">
        <v>1375</v>
      </c>
      <c r="J241" s="71">
        <v>41</v>
      </c>
      <c r="K241" s="190">
        <f t="shared" si="25"/>
        <v>2.9818181818181815</v>
      </c>
      <c r="L241" s="178"/>
      <c r="M241" s="71"/>
      <c r="N241" s="71"/>
      <c r="O241" s="189"/>
      <c r="P241" s="178"/>
      <c r="Q241" s="71">
        <f t="shared" si="26"/>
        <v>1375</v>
      </c>
      <c r="R241" s="71">
        <f t="shared" si="27"/>
        <v>41</v>
      </c>
      <c r="S241" s="188">
        <f t="shared" si="28"/>
        <v>2.9818181818181815</v>
      </c>
    </row>
    <row r="242" spans="2:19" ht="12.75">
      <c r="B242" s="25">
        <f t="shared" si="29"/>
        <v>17</v>
      </c>
      <c r="C242" s="9"/>
      <c r="D242" s="9"/>
      <c r="E242" s="9"/>
      <c r="F242" s="31" t="s">
        <v>191</v>
      </c>
      <c r="G242" s="40">
        <v>640</v>
      </c>
      <c r="H242" s="9" t="s">
        <v>132</v>
      </c>
      <c r="I242" s="72">
        <v>600</v>
      </c>
      <c r="J242" s="72">
        <v>0</v>
      </c>
      <c r="K242" s="190">
        <f t="shared" si="25"/>
        <v>0</v>
      </c>
      <c r="L242" s="177"/>
      <c r="M242" s="72"/>
      <c r="N242" s="72"/>
      <c r="O242" s="189"/>
      <c r="P242" s="177"/>
      <c r="Q242" s="72">
        <f t="shared" si="26"/>
        <v>600</v>
      </c>
      <c r="R242" s="72">
        <f t="shared" si="27"/>
        <v>0</v>
      </c>
      <c r="S242" s="188">
        <f t="shared" si="28"/>
        <v>0</v>
      </c>
    </row>
    <row r="243" spans="2:19" ht="12.75">
      <c r="B243" s="25"/>
      <c r="C243" s="9"/>
      <c r="D243" s="9"/>
      <c r="E243" s="9"/>
      <c r="F243" s="31" t="s">
        <v>191</v>
      </c>
      <c r="G243" s="40">
        <v>630</v>
      </c>
      <c r="H243" s="9" t="s">
        <v>544</v>
      </c>
      <c r="I243" s="72">
        <v>11978</v>
      </c>
      <c r="J243" s="72">
        <v>11978</v>
      </c>
      <c r="K243" s="190">
        <f t="shared" si="25"/>
        <v>100</v>
      </c>
      <c r="L243" s="177"/>
      <c r="M243" s="72"/>
      <c r="N243" s="72"/>
      <c r="O243" s="189"/>
      <c r="P243" s="177"/>
      <c r="Q243" s="72">
        <f>I243+M243</f>
        <v>11978</v>
      </c>
      <c r="R243" s="72">
        <f t="shared" si="27"/>
        <v>11978</v>
      </c>
      <c r="S243" s="188">
        <f t="shared" si="28"/>
        <v>100</v>
      </c>
    </row>
    <row r="244" spans="2:19" ht="15">
      <c r="B244" s="25">
        <f>B242+1</f>
        <v>18</v>
      </c>
      <c r="C244" s="7">
        <v>3</v>
      </c>
      <c r="D244" s="277" t="s">
        <v>176</v>
      </c>
      <c r="E244" s="278"/>
      <c r="F244" s="278"/>
      <c r="G244" s="278"/>
      <c r="H244" s="279"/>
      <c r="I244" s="79">
        <f>I245+I246+I247+I253</f>
        <v>263270</v>
      </c>
      <c r="J244" s="79">
        <f>J245+J246+J247+J253</f>
        <v>116958</v>
      </c>
      <c r="K244" s="190">
        <f t="shared" si="25"/>
        <v>44.425114901052154</v>
      </c>
      <c r="L244" s="175"/>
      <c r="M244" s="79">
        <v>0</v>
      </c>
      <c r="N244" s="79">
        <v>0</v>
      </c>
      <c r="O244" s="189"/>
      <c r="P244" s="175"/>
      <c r="Q244" s="79">
        <f t="shared" si="26"/>
        <v>263270</v>
      </c>
      <c r="R244" s="79">
        <f t="shared" si="27"/>
        <v>116958</v>
      </c>
      <c r="S244" s="188">
        <f t="shared" si="28"/>
        <v>44.425114901052154</v>
      </c>
    </row>
    <row r="245" spans="2:19" ht="12.75">
      <c r="B245" s="25">
        <f t="shared" si="29"/>
        <v>19</v>
      </c>
      <c r="C245" s="9"/>
      <c r="D245" s="9"/>
      <c r="E245" s="9"/>
      <c r="F245" s="31" t="s">
        <v>72</v>
      </c>
      <c r="G245" s="40">
        <v>610</v>
      </c>
      <c r="H245" s="9" t="s">
        <v>134</v>
      </c>
      <c r="I245" s="72">
        <v>176500</v>
      </c>
      <c r="J245" s="72">
        <v>78304</v>
      </c>
      <c r="K245" s="190">
        <f t="shared" si="25"/>
        <v>44.364872521246454</v>
      </c>
      <c r="L245" s="177"/>
      <c r="M245" s="72"/>
      <c r="N245" s="72"/>
      <c r="O245" s="189"/>
      <c r="P245" s="177"/>
      <c r="Q245" s="72">
        <f t="shared" si="26"/>
        <v>176500</v>
      </c>
      <c r="R245" s="72">
        <f t="shared" si="27"/>
        <v>78304</v>
      </c>
      <c r="S245" s="188">
        <f t="shared" si="28"/>
        <v>44.364872521246454</v>
      </c>
    </row>
    <row r="246" spans="2:19" ht="12.75">
      <c r="B246" s="25">
        <f t="shared" si="29"/>
        <v>20</v>
      </c>
      <c r="C246" s="9"/>
      <c r="D246" s="9"/>
      <c r="E246" s="9"/>
      <c r="F246" s="31" t="s">
        <v>72</v>
      </c>
      <c r="G246" s="40">
        <v>620</v>
      </c>
      <c r="H246" s="9" t="s">
        <v>128</v>
      </c>
      <c r="I246" s="72">
        <v>67000</v>
      </c>
      <c r="J246" s="72">
        <v>29939</v>
      </c>
      <c r="K246" s="190">
        <f t="shared" si="25"/>
        <v>44.68507462686567</v>
      </c>
      <c r="L246" s="177"/>
      <c r="M246" s="72"/>
      <c r="N246" s="72"/>
      <c r="O246" s="189"/>
      <c r="P246" s="177"/>
      <c r="Q246" s="72">
        <f t="shared" si="26"/>
        <v>67000</v>
      </c>
      <c r="R246" s="72">
        <f t="shared" si="27"/>
        <v>29939</v>
      </c>
      <c r="S246" s="188">
        <f t="shared" si="28"/>
        <v>44.68507462686567</v>
      </c>
    </row>
    <row r="247" spans="2:19" ht="12.75">
      <c r="B247" s="25">
        <f t="shared" si="29"/>
        <v>21</v>
      </c>
      <c r="C247" s="9"/>
      <c r="D247" s="9"/>
      <c r="E247" s="9"/>
      <c r="F247" s="31" t="s">
        <v>72</v>
      </c>
      <c r="G247" s="40">
        <v>630</v>
      </c>
      <c r="H247" s="9" t="s">
        <v>125</v>
      </c>
      <c r="I247" s="72">
        <f>SUM(I248:I252)</f>
        <v>19170</v>
      </c>
      <c r="J247" s="72">
        <f>SUM(J248:J252)</f>
        <v>8715</v>
      </c>
      <c r="K247" s="190">
        <f t="shared" si="25"/>
        <v>45.46165884194053</v>
      </c>
      <c r="L247" s="177"/>
      <c r="M247" s="72"/>
      <c r="N247" s="72"/>
      <c r="O247" s="189"/>
      <c r="P247" s="177"/>
      <c r="Q247" s="72">
        <f t="shared" si="26"/>
        <v>19170</v>
      </c>
      <c r="R247" s="72">
        <f t="shared" si="27"/>
        <v>8715</v>
      </c>
      <c r="S247" s="188">
        <f t="shared" si="28"/>
        <v>45.46165884194053</v>
      </c>
    </row>
    <row r="248" spans="2:19" ht="12.75">
      <c r="B248" s="25">
        <f t="shared" si="29"/>
        <v>22</v>
      </c>
      <c r="C248" s="4"/>
      <c r="D248" s="4"/>
      <c r="E248" s="4"/>
      <c r="F248" s="32" t="s">
        <v>72</v>
      </c>
      <c r="G248" s="41">
        <v>631</v>
      </c>
      <c r="H248" s="4" t="s">
        <v>131</v>
      </c>
      <c r="I248" s="71">
        <v>50</v>
      </c>
      <c r="J248" s="71">
        <v>0</v>
      </c>
      <c r="K248" s="190">
        <f t="shared" si="25"/>
        <v>0</v>
      </c>
      <c r="L248" s="178"/>
      <c r="M248" s="71"/>
      <c r="N248" s="71"/>
      <c r="O248" s="189"/>
      <c r="P248" s="178"/>
      <c r="Q248" s="71">
        <f t="shared" si="26"/>
        <v>50</v>
      </c>
      <c r="R248" s="71">
        <f t="shared" si="27"/>
        <v>0</v>
      </c>
      <c r="S248" s="188">
        <f t="shared" si="28"/>
        <v>0</v>
      </c>
    </row>
    <row r="249" spans="2:19" ht="12.75">
      <c r="B249" s="25">
        <f t="shared" si="29"/>
        <v>23</v>
      </c>
      <c r="C249" s="4"/>
      <c r="D249" s="4"/>
      <c r="E249" s="4"/>
      <c r="F249" s="32" t="s">
        <v>72</v>
      </c>
      <c r="G249" s="41">
        <v>632</v>
      </c>
      <c r="H249" s="4" t="s">
        <v>138</v>
      </c>
      <c r="I249" s="71">
        <v>2100</v>
      </c>
      <c r="J249" s="71">
        <v>962</v>
      </c>
      <c r="K249" s="190">
        <f t="shared" si="25"/>
        <v>45.80952380952381</v>
      </c>
      <c r="L249" s="178"/>
      <c r="M249" s="71"/>
      <c r="N249" s="71"/>
      <c r="O249" s="189"/>
      <c r="P249" s="178"/>
      <c r="Q249" s="71">
        <f t="shared" si="26"/>
        <v>2100</v>
      </c>
      <c r="R249" s="71">
        <f t="shared" si="27"/>
        <v>962</v>
      </c>
      <c r="S249" s="188">
        <f t="shared" si="28"/>
        <v>45.80952380952381</v>
      </c>
    </row>
    <row r="250" spans="2:19" ht="12.75">
      <c r="B250" s="25">
        <f t="shared" si="29"/>
        <v>24</v>
      </c>
      <c r="C250" s="4"/>
      <c r="D250" s="4"/>
      <c r="E250" s="4"/>
      <c r="F250" s="32" t="s">
        <v>72</v>
      </c>
      <c r="G250" s="41">
        <v>633</v>
      </c>
      <c r="H250" s="4" t="s">
        <v>129</v>
      </c>
      <c r="I250" s="71">
        <v>1200</v>
      </c>
      <c r="J250" s="71">
        <v>1088</v>
      </c>
      <c r="K250" s="190">
        <f t="shared" si="25"/>
        <v>90.66666666666666</v>
      </c>
      <c r="L250" s="178"/>
      <c r="M250" s="71"/>
      <c r="N250" s="71"/>
      <c r="O250" s="189"/>
      <c r="P250" s="178"/>
      <c r="Q250" s="71">
        <f t="shared" si="26"/>
        <v>1200</v>
      </c>
      <c r="R250" s="71">
        <f t="shared" si="27"/>
        <v>1088</v>
      </c>
      <c r="S250" s="188">
        <f t="shared" si="28"/>
        <v>90.66666666666666</v>
      </c>
    </row>
    <row r="251" spans="2:19" ht="12.75">
      <c r="B251" s="25">
        <f t="shared" si="29"/>
        <v>25</v>
      </c>
      <c r="C251" s="4"/>
      <c r="D251" s="4"/>
      <c r="E251" s="4"/>
      <c r="F251" s="32" t="s">
        <v>72</v>
      </c>
      <c r="G251" s="41">
        <v>637</v>
      </c>
      <c r="H251" s="4" t="s">
        <v>126</v>
      </c>
      <c r="I251" s="71">
        <v>12520</v>
      </c>
      <c r="J251" s="71">
        <v>6665</v>
      </c>
      <c r="K251" s="190">
        <f t="shared" si="25"/>
        <v>53.23482428115016</v>
      </c>
      <c r="L251" s="178"/>
      <c r="M251" s="71"/>
      <c r="N251" s="71"/>
      <c r="O251" s="189"/>
      <c r="P251" s="178"/>
      <c r="Q251" s="71">
        <f t="shared" si="26"/>
        <v>12520</v>
      </c>
      <c r="R251" s="71">
        <f t="shared" si="27"/>
        <v>6665</v>
      </c>
      <c r="S251" s="188">
        <f t="shared" si="28"/>
        <v>53.23482428115016</v>
      </c>
    </row>
    <row r="252" spans="2:19" ht="12.75">
      <c r="B252" s="25">
        <f t="shared" si="29"/>
        <v>26</v>
      </c>
      <c r="C252" s="4"/>
      <c r="D252" s="4"/>
      <c r="E252" s="4"/>
      <c r="F252" s="32" t="s">
        <v>72</v>
      </c>
      <c r="G252" s="41">
        <v>637</v>
      </c>
      <c r="H252" s="4" t="s">
        <v>295</v>
      </c>
      <c r="I252" s="71">
        <v>3300</v>
      </c>
      <c r="J252" s="71">
        <v>0</v>
      </c>
      <c r="K252" s="190">
        <f t="shared" si="25"/>
        <v>0</v>
      </c>
      <c r="L252" s="178"/>
      <c r="M252" s="71"/>
      <c r="N252" s="71"/>
      <c r="O252" s="189"/>
      <c r="P252" s="178"/>
      <c r="Q252" s="71">
        <f t="shared" si="26"/>
        <v>3300</v>
      </c>
      <c r="R252" s="71">
        <f t="shared" si="27"/>
        <v>0</v>
      </c>
      <c r="S252" s="188">
        <f t="shared" si="28"/>
        <v>0</v>
      </c>
    </row>
    <row r="253" spans="2:19" ht="12.75">
      <c r="B253" s="25">
        <f t="shared" si="29"/>
        <v>27</v>
      </c>
      <c r="C253" s="9"/>
      <c r="D253" s="9"/>
      <c r="E253" s="9"/>
      <c r="F253" s="31" t="s">
        <v>72</v>
      </c>
      <c r="G253" s="40">
        <v>640</v>
      </c>
      <c r="H253" s="9" t="s">
        <v>132</v>
      </c>
      <c r="I253" s="72">
        <v>600</v>
      </c>
      <c r="J253" s="72">
        <v>0</v>
      </c>
      <c r="K253" s="190">
        <f t="shared" si="25"/>
        <v>0</v>
      </c>
      <c r="L253" s="177"/>
      <c r="M253" s="72"/>
      <c r="N253" s="72"/>
      <c r="O253" s="189"/>
      <c r="P253" s="177"/>
      <c r="Q253" s="72">
        <f t="shared" si="26"/>
        <v>600</v>
      </c>
      <c r="R253" s="72">
        <f t="shared" si="27"/>
        <v>0</v>
      </c>
      <c r="S253" s="188">
        <f t="shared" si="28"/>
        <v>0</v>
      </c>
    </row>
    <row r="254" spans="2:19" ht="15">
      <c r="B254" s="25">
        <f t="shared" si="29"/>
        <v>28</v>
      </c>
      <c r="C254" s="7">
        <v>4</v>
      </c>
      <c r="D254" s="277" t="s">
        <v>41</v>
      </c>
      <c r="E254" s="278"/>
      <c r="F254" s="278"/>
      <c r="G254" s="278"/>
      <c r="H254" s="279"/>
      <c r="I254" s="79">
        <f>I255</f>
        <v>62065</v>
      </c>
      <c r="J254" s="79">
        <f>J255</f>
        <v>22858</v>
      </c>
      <c r="K254" s="190">
        <f t="shared" si="25"/>
        <v>36.82913075002014</v>
      </c>
      <c r="L254" s="175"/>
      <c r="M254" s="79">
        <v>0</v>
      </c>
      <c r="N254" s="79">
        <v>0</v>
      </c>
      <c r="O254" s="189"/>
      <c r="P254" s="175"/>
      <c r="Q254" s="79">
        <f t="shared" si="26"/>
        <v>62065</v>
      </c>
      <c r="R254" s="79">
        <f t="shared" si="27"/>
        <v>22858</v>
      </c>
      <c r="S254" s="188">
        <f t="shared" si="28"/>
        <v>36.82913075002014</v>
      </c>
    </row>
    <row r="255" spans="2:19" ht="15">
      <c r="B255" s="25">
        <f t="shared" si="29"/>
        <v>29</v>
      </c>
      <c r="C255" s="12"/>
      <c r="D255" s="12"/>
      <c r="E255" s="12">
        <v>2</v>
      </c>
      <c r="F255" s="35"/>
      <c r="G255" s="43"/>
      <c r="H255" s="12" t="s">
        <v>15</v>
      </c>
      <c r="I255" s="82">
        <f>I256+I257+I258+I264</f>
        <v>62065</v>
      </c>
      <c r="J255" s="82">
        <f>J256+J257+J258+J264</f>
        <v>22858</v>
      </c>
      <c r="K255" s="190">
        <f t="shared" si="25"/>
        <v>36.82913075002014</v>
      </c>
      <c r="L255" s="182"/>
      <c r="M255" s="82"/>
      <c r="N255" s="82"/>
      <c r="O255" s="189"/>
      <c r="P255" s="182"/>
      <c r="Q255" s="82">
        <f t="shared" si="26"/>
        <v>62065</v>
      </c>
      <c r="R255" s="82">
        <f t="shared" si="27"/>
        <v>22858</v>
      </c>
      <c r="S255" s="188">
        <f t="shared" si="28"/>
        <v>36.82913075002014</v>
      </c>
    </row>
    <row r="256" spans="2:19" ht="12.75">
      <c r="B256" s="25">
        <f t="shared" si="29"/>
        <v>30</v>
      </c>
      <c r="C256" s="9"/>
      <c r="D256" s="9"/>
      <c r="E256" s="9"/>
      <c r="F256" s="31" t="s">
        <v>200</v>
      </c>
      <c r="G256" s="40">
        <v>610</v>
      </c>
      <c r="H256" s="9" t="s">
        <v>134</v>
      </c>
      <c r="I256" s="72">
        <v>32230</v>
      </c>
      <c r="J256" s="72">
        <v>12705</v>
      </c>
      <c r="K256" s="190">
        <f t="shared" si="25"/>
        <v>39.419795221843</v>
      </c>
      <c r="L256" s="177"/>
      <c r="M256" s="72"/>
      <c r="N256" s="72"/>
      <c r="O256" s="189"/>
      <c r="P256" s="177"/>
      <c r="Q256" s="72">
        <f t="shared" si="26"/>
        <v>32230</v>
      </c>
      <c r="R256" s="72">
        <f t="shared" si="27"/>
        <v>12705</v>
      </c>
      <c r="S256" s="188">
        <f t="shared" si="28"/>
        <v>39.419795221843</v>
      </c>
    </row>
    <row r="257" spans="2:19" ht="12.75">
      <c r="B257" s="25">
        <f t="shared" si="29"/>
        <v>31</v>
      </c>
      <c r="C257" s="9"/>
      <c r="D257" s="9"/>
      <c r="E257" s="9"/>
      <c r="F257" s="31" t="s">
        <v>200</v>
      </c>
      <c r="G257" s="40">
        <v>620</v>
      </c>
      <c r="H257" s="9" t="s">
        <v>128</v>
      </c>
      <c r="I257" s="72">
        <v>11825</v>
      </c>
      <c r="J257" s="72">
        <v>4288</v>
      </c>
      <c r="K257" s="190">
        <f t="shared" si="25"/>
        <v>36.26215644820296</v>
      </c>
      <c r="L257" s="177"/>
      <c r="M257" s="72"/>
      <c r="N257" s="72"/>
      <c r="O257" s="189"/>
      <c r="P257" s="177"/>
      <c r="Q257" s="72">
        <f t="shared" si="26"/>
        <v>11825</v>
      </c>
      <c r="R257" s="72">
        <f t="shared" si="27"/>
        <v>4288</v>
      </c>
      <c r="S257" s="188">
        <f t="shared" si="28"/>
        <v>36.26215644820296</v>
      </c>
    </row>
    <row r="258" spans="2:19" ht="12.75">
      <c r="B258" s="25">
        <f t="shared" si="29"/>
        <v>32</v>
      </c>
      <c r="C258" s="9"/>
      <c r="D258" s="9"/>
      <c r="E258" s="9"/>
      <c r="F258" s="31" t="s">
        <v>200</v>
      </c>
      <c r="G258" s="40">
        <v>630</v>
      </c>
      <c r="H258" s="9" t="s">
        <v>125</v>
      </c>
      <c r="I258" s="72">
        <f>SUM(I259:I263)</f>
        <v>17310</v>
      </c>
      <c r="J258" s="72">
        <f>SUM(J259:J263)</f>
        <v>5626</v>
      </c>
      <c r="K258" s="190">
        <f t="shared" si="25"/>
        <v>32.50144425187752</v>
      </c>
      <c r="L258" s="177"/>
      <c r="M258" s="72"/>
      <c r="N258" s="72"/>
      <c r="O258" s="189"/>
      <c r="P258" s="177"/>
      <c r="Q258" s="72">
        <f t="shared" si="26"/>
        <v>17310</v>
      </c>
      <c r="R258" s="72">
        <f t="shared" si="27"/>
        <v>5626</v>
      </c>
      <c r="S258" s="188">
        <f t="shared" si="28"/>
        <v>32.50144425187752</v>
      </c>
    </row>
    <row r="259" spans="2:19" ht="12.75">
      <c r="B259" s="25">
        <f t="shared" si="29"/>
        <v>33</v>
      </c>
      <c r="C259" s="4"/>
      <c r="D259" s="4"/>
      <c r="E259" s="4"/>
      <c r="F259" s="32" t="s">
        <v>200</v>
      </c>
      <c r="G259" s="41">
        <v>632</v>
      </c>
      <c r="H259" s="4" t="s">
        <v>138</v>
      </c>
      <c r="I259" s="71">
        <v>9000</v>
      </c>
      <c r="J259" s="71">
        <v>2958</v>
      </c>
      <c r="K259" s="190">
        <f t="shared" si="25"/>
        <v>32.86666666666667</v>
      </c>
      <c r="L259" s="178"/>
      <c r="M259" s="71"/>
      <c r="N259" s="71"/>
      <c r="O259" s="189"/>
      <c r="P259" s="178"/>
      <c r="Q259" s="71">
        <f t="shared" si="26"/>
        <v>9000</v>
      </c>
      <c r="R259" s="71">
        <f t="shared" si="27"/>
        <v>2958</v>
      </c>
      <c r="S259" s="188">
        <f t="shared" si="28"/>
        <v>32.86666666666667</v>
      </c>
    </row>
    <row r="260" spans="2:19" ht="12.75">
      <c r="B260" s="25">
        <f t="shared" si="29"/>
        <v>34</v>
      </c>
      <c r="C260" s="4"/>
      <c r="D260" s="4"/>
      <c r="E260" s="4"/>
      <c r="F260" s="32" t="s">
        <v>200</v>
      </c>
      <c r="G260" s="41">
        <v>633</v>
      </c>
      <c r="H260" s="4" t="s">
        <v>129</v>
      </c>
      <c r="I260" s="71">
        <v>2200</v>
      </c>
      <c r="J260" s="71">
        <v>870</v>
      </c>
      <c r="K260" s="190">
        <f t="shared" si="25"/>
        <v>39.54545454545455</v>
      </c>
      <c r="L260" s="178"/>
      <c r="M260" s="71"/>
      <c r="N260" s="71"/>
      <c r="O260" s="189"/>
      <c r="P260" s="178"/>
      <c r="Q260" s="71">
        <f t="shared" si="26"/>
        <v>2200</v>
      </c>
      <c r="R260" s="71">
        <f t="shared" si="27"/>
        <v>870</v>
      </c>
      <c r="S260" s="188">
        <f t="shared" si="28"/>
        <v>39.54545454545455</v>
      </c>
    </row>
    <row r="261" spans="2:19" ht="12.75">
      <c r="B261" s="25">
        <f t="shared" si="29"/>
        <v>35</v>
      </c>
      <c r="C261" s="4"/>
      <c r="D261" s="4"/>
      <c r="E261" s="4"/>
      <c r="F261" s="32" t="s">
        <v>200</v>
      </c>
      <c r="G261" s="41">
        <v>635</v>
      </c>
      <c r="H261" s="4" t="s">
        <v>136</v>
      </c>
      <c r="I261" s="71">
        <v>2200</v>
      </c>
      <c r="J261" s="71">
        <v>661</v>
      </c>
      <c r="K261" s="190">
        <f t="shared" si="25"/>
        <v>30.045454545454547</v>
      </c>
      <c r="L261" s="178"/>
      <c r="M261" s="71"/>
      <c r="N261" s="71"/>
      <c r="O261" s="189"/>
      <c r="P261" s="178"/>
      <c r="Q261" s="71">
        <f t="shared" si="26"/>
        <v>2200</v>
      </c>
      <c r="R261" s="71">
        <f t="shared" si="27"/>
        <v>661</v>
      </c>
      <c r="S261" s="188">
        <f t="shared" si="28"/>
        <v>30.045454545454547</v>
      </c>
    </row>
    <row r="262" spans="2:19" ht="12.75">
      <c r="B262" s="25">
        <f t="shared" si="29"/>
        <v>36</v>
      </c>
      <c r="C262" s="4"/>
      <c r="D262" s="4"/>
      <c r="E262" s="4"/>
      <c r="F262" s="32" t="s">
        <v>200</v>
      </c>
      <c r="G262" s="41">
        <v>637</v>
      </c>
      <c r="H262" s="4" t="s">
        <v>126</v>
      </c>
      <c r="I262" s="71">
        <v>3360</v>
      </c>
      <c r="J262" s="71">
        <v>1137</v>
      </c>
      <c r="K262" s="190">
        <f t="shared" si="25"/>
        <v>33.839285714285715</v>
      </c>
      <c r="L262" s="178"/>
      <c r="M262" s="71"/>
      <c r="N262" s="71"/>
      <c r="O262" s="189"/>
      <c r="P262" s="178"/>
      <c r="Q262" s="71">
        <f t="shared" si="26"/>
        <v>3360</v>
      </c>
      <c r="R262" s="71">
        <f t="shared" si="27"/>
        <v>1137</v>
      </c>
      <c r="S262" s="188">
        <f t="shared" si="28"/>
        <v>33.839285714285715</v>
      </c>
    </row>
    <row r="263" spans="2:19" ht="12.75">
      <c r="B263" s="25">
        <f t="shared" si="29"/>
        <v>37</v>
      </c>
      <c r="C263" s="4"/>
      <c r="D263" s="4"/>
      <c r="E263" s="4"/>
      <c r="F263" s="32" t="s">
        <v>200</v>
      </c>
      <c r="G263" s="41">
        <v>637</v>
      </c>
      <c r="H263" s="4" t="s">
        <v>295</v>
      </c>
      <c r="I263" s="71">
        <v>550</v>
      </c>
      <c r="J263" s="71">
        <v>0</v>
      </c>
      <c r="K263" s="190">
        <f t="shared" si="25"/>
        <v>0</v>
      </c>
      <c r="L263" s="178"/>
      <c r="M263" s="71"/>
      <c r="N263" s="71"/>
      <c r="O263" s="189"/>
      <c r="P263" s="178"/>
      <c r="Q263" s="71">
        <f t="shared" si="26"/>
        <v>550</v>
      </c>
      <c r="R263" s="71">
        <f t="shared" si="27"/>
        <v>0</v>
      </c>
      <c r="S263" s="188">
        <f t="shared" si="28"/>
        <v>0</v>
      </c>
    </row>
    <row r="264" spans="2:19" ht="12.75">
      <c r="B264" s="25">
        <f t="shared" si="29"/>
        <v>38</v>
      </c>
      <c r="C264" s="9"/>
      <c r="D264" s="9"/>
      <c r="E264" s="9"/>
      <c r="F264" s="31" t="s">
        <v>200</v>
      </c>
      <c r="G264" s="40">
        <v>640</v>
      </c>
      <c r="H264" s="9" t="s">
        <v>132</v>
      </c>
      <c r="I264" s="72">
        <f>350+350</f>
        <v>700</v>
      </c>
      <c r="J264" s="72">
        <v>239</v>
      </c>
      <c r="K264" s="190">
        <f t="shared" si="25"/>
        <v>34.14285714285714</v>
      </c>
      <c r="L264" s="177"/>
      <c r="M264" s="72"/>
      <c r="N264" s="72"/>
      <c r="O264" s="189"/>
      <c r="P264" s="177"/>
      <c r="Q264" s="72">
        <f t="shared" si="26"/>
        <v>700</v>
      </c>
      <c r="R264" s="72">
        <f t="shared" si="27"/>
        <v>239</v>
      </c>
      <c r="S264" s="188">
        <f t="shared" si="28"/>
        <v>34.14285714285714</v>
      </c>
    </row>
    <row r="265" spans="2:19" ht="15">
      <c r="B265" s="25">
        <f t="shared" si="29"/>
        <v>39</v>
      </c>
      <c r="C265" s="7">
        <v>5</v>
      </c>
      <c r="D265" s="277" t="s">
        <v>226</v>
      </c>
      <c r="E265" s="278"/>
      <c r="F265" s="278"/>
      <c r="G265" s="278"/>
      <c r="H265" s="279"/>
      <c r="I265" s="79">
        <f>I266</f>
        <v>93005</v>
      </c>
      <c r="J265" s="79">
        <f>J266</f>
        <v>28983</v>
      </c>
      <c r="K265" s="190">
        <f t="shared" si="25"/>
        <v>31.162840707488844</v>
      </c>
      <c r="L265" s="175"/>
      <c r="M265" s="79">
        <v>0</v>
      </c>
      <c r="N265" s="79">
        <v>0</v>
      </c>
      <c r="O265" s="189"/>
      <c r="P265" s="175"/>
      <c r="Q265" s="79">
        <f t="shared" si="26"/>
        <v>93005</v>
      </c>
      <c r="R265" s="79">
        <f t="shared" si="27"/>
        <v>28983</v>
      </c>
      <c r="S265" s="188">
        <f t="shared" si="28"/>
        <v>31.162840707488844</v>
      </c>
    </row>
    <row r="266" spans="2:19" ht="15">
      <c r="B266" s="25">
        <f t="shared" si="29"/>
        <v>40</v>
      </c>
      <c r="C266" s="12"/>
      <c r="D266" s="12"/>
      <c r="E266" s="12">
        <v>2</v>
      </c>
      <c r="F266" s="35"/>
      <c r="G266" s="43"/>
      <c r="H266" s="12" t="s">
        <v>15</v>
      </c>
      <c r="I266" s="82">
        <f>I267+I268+I269+I276</f>
        <v>93005</v>
      </c>
      <c r="J266" s="82">
        <f>J267+J268+J269+J276</f>
        <v>28983</v>
      </c>
      <c r="K266" s="190">
        <f t="shared" si="25"/>
        <v>31.162840707488844</v>
      </c>
      <c r="L266" s="182"/>
      <c r="M266" s="82"/>
      <c r="N266" s="82"/>
      <c r="O266" s="189"/>
      <c r="P266" s="182"/>
      <c r="Q266" s="82">
        <f t="shared" si="26"/>
        <v>93005</v>
      </c>
      <c r="R266" s="82">
        <f t="shared" si="27"/>
        <v>28983</v>
      </c>
      <c r="S266" s="188">
        <f t="shared" si="28"/>
        <v>31.162840707488844</v>
      </c>
    </row>
    <row r="267" spans="2:19" ht="12.75">
      <c r="B267" s="25">
        <f t="shared" si="29"/>
        <v>41</v>
      </c>
      <c r="C267" s="9"/>
      <c r="D267" s="9"/>
      <c r="E267" s="9"/>
      <c r="F267" s="31" t="s">
        <v>200</v>
      </c>
      <c r="G267" s="40">
        <v>610</v>
      </c>
      <c r="H267" s="9" t="s">
        <v>134</v>
      </c>
      <c r="I267" s="72">
        <v>22605</v>
      </c>
      <c r="J267" s="72">
        <v>9226</v>
      </c>
      <c r="K267" s="190">
        <f t="shared" si="25"/>
        <v>40.81397920813979</v>
      </c>
      <c r="L267" s="177"/>
      <c r="M267" s="72"/>
      <c r="N267" s="72"/>
      <c r="O267" s="189"/>
      <c r="P267" s="177"/>
      <c r="Q267" s="72">
        <f t="shared" si="26"/>
        <v>22605</v>
      </c>
      <c r="R267" s="72">
        <f t="shared" si="27"/>
        <v>9226</v>
      </c>
      <c r="S267" s="188">
        <f t="shared" si="28"/>
        <v>40.81397920813979</v>
      </c>
    </row>
    <row r="268" spans="2:19" ht="12.75">
      <c r="B268" s="25">
        <f t="shared" si="29"/>
        <v>42</v>
      </c>
      <c r="C268" s="9"/>
      <c r="D268" s="9"/>
      <c r="E268" s="9"/>
      <c r="F268" s="31" t="s">
        <v>200</v>
      </c>
      <c r="G268" s="40">
        <v>620</v>
      </c>
      <c r="H268" s="9" t="s">
        <v>128</v>
      </c>
      <c r="I268" s="72">
        <f>9450+1000</f>
        <v>10450</v>
      </c>
      <c r="J268" s="72">
        <v>3919</v>
      </c>
      <c r="K268" s="190">
        <f t="shared" si="25"/>
        <v>37.50239234449761</v>
      </c>
      <c r="L268" s="177"/>
      <c r="M268" s="72"/>
      <c r="N268" s="72"/>
      <c r="O268" s="189"/>
      <c r="P268" s="177"/>
      <c r="Q268" s="72">
        <f t="shared" si="26"/>
        <v>10450</v>
      </c>
      <c r="R268" s="72">
        <f t="shared" si="27"/>
        <v>3919</v>
      </c>
      <c r="S268" s="188">
        <f t="shared" si="28"/>
        <v>37.50239234449761</v>
      </c>
    </row>
    <row r="269" spans="2:19" ht="12.75">
      <c r="B269" s="25">
        <f t="shared" si="29"/>
        <v>43</v>
      </c>
      <c r="C269" s="9"/>
      <c r="D269" s="9"/>
      <c r="E269" s="9"/>
      <c r="F269" s="31" t="s">
        <v>200</v>
      </c>
      <c r="G269" s="40">
        <v>630</v>
      </c>
      <c r="H269" s="9" t="s">
        <v>125</v>
      </c>
      <c r="I269" s="72">
        <f>SUM(I270:I275)</f>
        <v>59450</v>
      </c>
      <c r="J269" s="72">
        <f>SUM(J270:J275)</f>
        <v>15838</v>
      </c>
      <c r="K269" s="190">
        <f t="shared" si="25"/>
        <v>26.640874684608917</v>
      </c>
      <c r="L269" s="177"/>
      <c r="M269" s="72"/>
      <c r="N269" s="72"/>
      <c r="O269" s="189"/>
      <c r="P269" s="177"/>
      <c r="Q269" s="72">
        <f t="shared" si="26"/>
        <v>59450</v>
      </c>
      <c r="R269" s="72">
        <f t="shared" si="27"/>
        <v>15838</v>
      </c>
      <c r="S269" s="188">
        <f t="shared" si="28"/>
        <v>26.640874684608917</v>
      </c>
    </row>
    <row r="270" spans="2:19" ht="12.75">
      <c r="B270" s="25">
        <f t="shared" si="29"/>
        <v>44</v>
      </c>
      <c r="C270" s="4"/>
      <c r="D270" s="4"/>
      <c r="E270" s="4"/>
      <c r="F270" s="32" t="s">
        <v>200</v>
      </c>
      <c r="G270" s="41">
        <v>632</v>
      </c>
      <c r="H270" s="4" t="s">
        <v>138</v>
      </c>
      <c r="I270" s="71">
        <v>7900</v>
      </c>
      <c r="J270" s="71">
        <v>2365</v>
      </c>
      <c r="K270" s="190">
        <f t="shared" si="25"/>
        <v>29.93670886075949</v>
      </c>
      <c r="L270" s="178"/>
      <c r="M270" s="71"/>
      <c r="N270" s="71"/>
      <c r="O270" s="189"/>
      <c r="P270" s="178"/>
      <c r="Q270" s="71">
        <f t="shared" si="26"/>
        <v>7900</v>
      </c>
      <c r="R270" s="71">
        <f t="shared" si="27"/>
        <v>2365</v>
      </c>
      <c r="S270" s="188">
        <f t="shared" si="28"/>
        <v>29.93670886075949</v>
      </c>
    </row>
    <row r="271" spans="2:19" ht="12.75">
      <c r="B271" s="25">
        <f t="shared" si="29"/>
        <v>45</v>
      </c>
      <c r="C271" s="4"/>
      <c r="D271" s="4"/>
      <c r="E271" s="4"/>
      <c r="F271" s="32" t="s">
        <v>200</v>
      </c>
      <c r="G271" s="41">
        <v>633</v>
      </c>
      <c r="H271" s="4" t="s">
        <v>129</v>
      </c>
      <c r="I271" s="71">
        <f>2500+11745</f>
        <v>14245</v>
      </c>
      <c r="J271" s="71">
        <v>868</v>
      </c>
      <c r="K271" s="190">
        <f t="shared" si="25"/>
        <v>6.093366093366093</v>
      </c>
      <c r="L271" s="178"/>
      <c r="M271" s="71"/>
      <c r="N271" s="71"/>
      <c r="O271" s="189"/>
      <c r="P271" s="178"/>
      <c r="Q271" s="71">
        <f t="shared" si="26"/>
        <v>14245</v>
      </c>
      <c r="R271" s="71">
        <f t="shared" si="27"/>
        <v>868</v>
      </c>
      <c r="S271" s="188">
        <f t="shared" si="28"/>
        <v>6.093366093366093</v>
      </c>
    </row>
    <row r="272" spans="2:19" ht="12.75">
      <c r="B272" s="25">
        <f t="shared" si="29"/>
        <v>46</v>
      </c>
      <c r="C272" s="4"/>
      <c r="D272" s="4"/>
      <c r="E272" s="4"/>
      <c r="F272" s="32" t="s">
        <v>200</v>
      </c>
      <c r="G272" s="41">
        <v>635</v>
      </c>
      <c r="H272" s="4" t="s">
        <v>136</v>
      </c>
      <c r="I272" s="71">
        <v>300</v>
      </c>
      <c r="J272" s="71">
        <v>106</v>
      </c>
      <c r="K272" s="190">
        <f t="shared" si="25"/>
        <v>35.333333333333336</v>
      </c>
      <c r="L272" s="178"/>
      <c r="M272" s="71"/>
      <c r="N272" s="71"/>
      <c r="O272" s="189"/>
      <c r="P272" s="178"/>
      <c r="Q272" s="71">
        <f t="shared" si="26"/>
        <v>300</v>
      </c>
      <c r="R272" s="71">
        <f t="shared" si="27"/>
        <v>106</v>
      </c>
      <c r="S272" s="188">
        <f t="shared" si="28"/>
        <v>35.333333333333336</v>
      </c>
    </row>
    <row r="273" spans="2:19" ht="12.75">
      <c r="B273" s="25">
        <f t="shared" si="29"/>
        <v>47</v>
      </c>
      <c r="C273" s="4"/>
      <c r="D273" s="4"/>
      <c r="E273" s="4"/>
      <c r="F273" s="32" t="s">
        <v>200</v>
      </c>
      <c r="G273" s="41">
        <v>636</v>
      </c>
      <c r="H273" s="4" t="s">
        <v>130</v>
      </c>
      <c r="I273" s="71">
        <v>13900</v>
      </c>
      <c r="J273" s="71">
        <v>430</v>
      </c>
      <c r="K273" s="190">
        <f t="shared" si="25"/>
        <v>3.093525179856115</v>
      </c>
      <c r="L273" s="178"/>
      <c r="M273" s="71"/>
      <c r="N273" s="71"/>
      <c r="O273" s="189"/>
      <c r="P273" s="178"/>
      <c r="Q273" s="71">
        <f t="shared" si="26"/>
        <v>13900</v>
      </c>
      <c r="R273" s="71">
        <f t="shared" si="27"/>
        <v>430</v>
      </c>
      <c r="S273" s="188">
        <f t="shared" si="28"/>
        <v>3.093525179856115</v>
      </c>
    </row>
    <row r="274" spans="2:19" ht="12.75">
      <c r="B274" s="25">
        <f t="shared" si="29"/>
        <v>48</v>
      </c>
      <c r="C274" s="4"/>
      <c r="D274" s="4"/>
      <c r="E274" s="4"/>
      <c r="F274" s="32" t="s">
        <v>200</v>
      </c>
      <c r="G274" s="41">
        <v>637</v>
      </c>
      <c r="H274" s="4" t="s">
        <v>126</v>
      </c>
      <c r="I274" s="71">
        <f>18330+4500</f>
        <v>22830</v>
      </c>
      <c r="J274" s="71">
        <v>12069</v>
      </c>
      <c r="K274" s="190">
        <f t="shared" si="25"/>
        <v>52.864651773981606</v>
      </c>
      <c r="L274" s="178"/>
      <c r="M274" s="71"/>
      <c r="N274" s="71"/>
      <c r="O274" s="189"/>
      <c r="P274" s="178"/>
      <c r="Q274" s="71">
        <f t="shared" si="26"/>
        <v>22830</v>
      </c>
      <c r="R274" s="71">
        <f t="shared" si="27"/>
        <v>12069</v>
      </c>
      <c r="S274" s="188">
        <f t="shared" si="28"/>
        <v>52.864651773981606</v>
      </c>
    </row>
    <row r="275" spans="2:19" ht="12.75">
      <c r="B275" s="25">
        <f t="shared" si="29"/>
        <v>49</v>
      </c>
      <c r="C275" s="4"/>
      <c r="D275" s="4"/>
      <c r="E275" s="4"/>
      <c r="F275" s="32" t="s">
        <v>200</v>
      </c>
      <c r="G275" s="41">
        <v>637</v>
      </c>
      <c r="H275" s="4" t="s">
        <v>295</v>
      </c>
      <c r="I275" s="71">
        <v>275</v>
      </c>
      <c r="J275" s="71">
        <v>0</v>
      </c>
      <c r="K275" s="190">
        <f t="shared" si="25"/>
        <v>0</v>
      </c>
      <c r="L275" s="178"/>
      <c r="M275" s="71"/>
      <c r="N275" s="71"/>
      <c r="O275" s="189"/>
      <c r="P275" s="178"/>
      <c r="Q275" s="71">
        <f t="shared" si="26"/>
        <v>275</v>
      </c>
      <c r="R275" s="71">
        <f t="shared" si="27"/>
        <v>0</v>
      </c>
      <c r="S275" s="188">
        <f t="shared" si="28"/>
        <v>0</v>
      </c>
    </row>
    <row r="276" spans="2:19" ht="12.75">
      <c r="B276" s="25">
        <f t="shared" si="29"/>
        <v>50</v>
      </c>
      <c r="C276" s="9"/>
      <c r="D276" s="9"/>
      <c r="E276" s="9"/>
      <c r="F276" s="31" t="s">
        <v>200</v>
      </c>
      <c r="G276" s="40">
        <v>640</v>
      </c>
      <c r="H276" s="9" t="s">
        <v>132</v>
      </c>
      <c r="I276" s="72">
        <v>500</v>
      </c>
      <c r="J276" s="72">
        <v>0</v>
      </c>
      <c r="K276" s="190">
        <f t="shared" si="25"/>
        <v>0</v>
      </c>
      <c r="L276" s="177"/>
      <c r="M276" s="72"/>
      <c r="N276" s="72"/>
      <c r="O276" s="189"/>
      <c r="P276" s="177"/>
      <c r="Q276" s="72">
        <f t="shared" si="26"/>
        <v>500</v>
      </c>
      <c r="R276" s="72">
        <f t="shared" si="27"/>
        <v>0</v>
      </c>
      <c r="S276" s="188">
        <f t="shared" si="28"/>
        <v>0</v>
      </c>
    </row>
    <row r="277" spans="2:19" ht="15">
      <c r="B277" s="25">
        <f t="shared" si="29"/>
        <v>51</v>
      </c>
      <c r="C277" s="7">
        <v>6</v>
      </c>
      <c r="D277" s="277" t="s">
        <v>149</v>
      </c>
      <c r="E277" s="278"/>
      <c r="F277" s="278"/>
      <c r="G277" s="278"/>
      <c r="H277" s="279"/>
      <c r="I277" s="79">
        <f>I278</f>
        <v>185850</v>
      </c>
      <c r="J277" s="79">
        <f>J278</f>
        <v>64349</v>
      </c>
      <c r="K277" s="190">
        <f t="shared" si="25"/>
        <v>34.62415926822707</v>
      </c>
      <c r="L277" s="175"/>
      <c r="M277" s="79">
        <f>M283</f>
        <v>57400</v>
      </c>
      <c r="N277" s="79">
        <f>N283</f>
        <v>17277</v>
      </c>
      <c r="O277" s="189">
        <f>N277/M277*100</f>
        <v>30.0993031358885</v>
      </c>
      <c r="P277" s="175"/>
      <c r="Q277" s="79">
        <f t="shared" si="26"/>
        <v>243250</v>
      </c>
      <c r="R277" s="79">
        <f t="shared" si="27"/>
        <v>81626</v>
      </c>
      <c r="S277" s="188">
        <f t="shared" si="28"/>
        <v>33.55642343268242</v>
      </c>
    </row>
    <row r="278" spans="2:19" ht="12.75">
      <c r="B278" s="25">
        <f t="shared" si="29"/>
        <v>52</v>
      </c>
      <c r="C278" s="9"/>
      <c r="D278" s="9"/>
      <c r="E278" s="9"/>
      <c r="F278" s="31" t="s">
        <v>148</v>
      </c>
      <c r="G278" s="40">
        <v>630</v>
      </c>
      <c r="H278" s="9" t="s">
        <v>125</v>
      </c>
      <c r="I278" s="72">
        <f>SUM(I279:I282)</f>
        <v>185850</v>
      </c>
      <c r="J278" s="72">
        <f>SUM(J279:J282)</f>
        <v>64349</v>
      </c>
      <c r="K278" s="190">
        <f t="shared" si="25"/>
        <v>34.62415926822707</v>
      </c>
      <c r="L278" s="177"/>
      <c r="M278" s="72"/>
      <c r="N278" s="72"/>
      <c r="O278" s="189"/>
      <c r="P278" s="177"/>
      <c r="Q278" s="72">
        <f t="shared" si="26"/>
        <v>185850</v>
      </c>
      <c r="R278" s="72">
        <f t="shared" si="27"/>
        <v>64349</v>
      </c>
      <c r="S278" s="188">
        <f t="shared" si="28"/>
        <v>34.62415926822707</v>
      </c>
    </row>
    <row r="279" spans="2:19" ht="12.75">
      <c r="B279" s="25">
        <f t="shared" si="29"/>
        <v>53</v>
      </c>
      <c r="C279" s="4"/>
      <c r="D279" s="4"/>
      <c r="E279" s="4"/>
      <c r="F279" s="32" t="s">
        <v>148</v>
      </c>
      <c r="G279" s="41">
        <v>632</v>
      </c>
      <c r="H279" s="4" t="s">
        <v>138</v>
      </c>
      <c r="I279" s="71">
        <f>26000-2000</f>
        <v>24000</v>
      </c>
      <c r="J279" s="71">
        <v>9398</v>
      </c>
      <c r="K279" s="190">
        <f t="shared" si="25"/>
        <v>39.15833333333333</v>
      </c>
      <c r="L279" s="178"/>
      <c r="M279" s="71"/>
      <c r="N279" s="71"/>
      <c r="O279" s="189"/>
      <c r="P279" s="178"/>
      <c r="Q279" s="71">
        <f t="shared" si="26"/>
        <v>24000</v>
      </c>
      <c r="R279" s="71">
        <f t="shared" si="27"/>
        <v>9398</v>
      </c>
      <c r="S279" s="188">
        <f t="shared" si="28"/>
        <v>39.15833333333333</v>
      </c>
    </row>
    <row r="280" spans="2:19" ht="12.75">
      <c r="B280" s="25">
        <f t="shared" si="29"/>
        <v>54</v>
      </c>
      <c r="C280" s="4"/>
      <c r="D280" s="4"/>
      <c r="E280" s="4"/>
      <c r="F280" s="32" t="s">
        <v>148</v>
      </c>
      <c r="G280" s="41">
        <v>633</v>
      </c>
      <c r="H280" s="4" t="s">
        <v>129</v>
      </c>
      <c r="I280" s="71">
        <v>3500</v>
      </c>
      <c r="J280" s="71">
        <v>0</v>
      </c>
      <c r="K280" s="190">
        <f t="shared" si="25"/>
        <v>0</v>
      </c>
      <c r="L280" s="178"/>
      <c r="M280" s="71"/>
      <c r="N280" s="71"/>
      <c r="O280" s="189"/>
      <c r="P280" s="178"/>
      <c r="Q280" s="71">
        <f t="shared" si="26"/>
        <v>3500</v>
      </c>
      <c r="R280" s="71">
        <f t="shared" si="27"/>
        <v>0</v>
      </c>
      <c r="S280" s="188">
        <f t="shared" si="28"/>
        <v>0</v>
      </c>
    </row>
    <row r="281" spans="2:19" ht="12.75">
      <c r="B281" s="25">
        <f t="shared" si="29"/>
        <v>55</v>
      </c>
      <c r="C281" s="4"/>
      <c r="D281" s="4"/>
      <c r="E281" s="4"/>
      <c r="F281" s="32" t="s">
        <v>148</v>
      </c>
      <c r="G281" s="41">
        <v>635</v>
      </c>
      <c r="H281" s="4" t="s">
        <v>136</v>
      </c>
      <c r="I281" s="71">
        <v>34000</v>
      </c>
      <c r="J281" s="71">
        <v>3410</v>
      </c>
      <c r="K281" s="190">
        <f t="shared" si="25"/>
        <v>10.029411764705882</v>
      </c>
      <c r="L281" s="178"/>
      <c r="M281" s="71"/>
      <c r="N281" s="71"/>
      <c r="O281" s="189"/>
      <c r="P281" s="178"/>
      <c r="Q281" s="71">
        <f t="shared" si="26"/>
        <v>34000</v>
      </c>
      <c r="R281" s="71">
        <f t="shared" si="27"/>
        <v>3410</v>
      </c>
      <c r="S281" s="188">
        <f t="shared" si="28"/>
        <v>10.029411764705882</v>
      </c>
    </row>
    <row r="282" spans="2:19" ht="12.75">
      <c r="B282" s="25">
        <f t="shared" si="29"/>
        <v>56</v>
      </c>
      <c r="C282" s="4"/>
      <c r="D282" s="4"/>
      <c r="E282" s="4"/>
      <c r="F282" s="32" t="s">
        <v>148</v>
      </c>
      <c r="G282" s="41">
        <v>637</v>
      </c>
      <c r="H282" s="4" t="s">
        <v>126</v>
      </c>
      <c r="I282" s="71">
        <v>124350</v>
      </c>
      <c r="J282" s="71">
        <v>51541</v>
      </c>
      <c r="K282" s="190">
        <f t="shared" si="25"/>
        <v>41.44833132287897</v>
      </c>
      <c r="L282" s="178"/>
      <c r="M282" s="71"/>
      <c r="N282" s="71"/>
      <c r="O282" s="189"/>
      <c r="P282" s="178"/>
      <c r="Q282" s="71">
        <f t="shared" si="26"/>
        <v>124350</v>
      </c>
      <c r="R282" s="71">
        <f t="shared" si="27"/>
        <v>51541</v>
      </c>
      <c r="S282" s="188">
        <f t="shared" si="28"/>
        <v>41.44833132287897</v>
      </c>
    </row>
    <row r="283" spans="2:19" ht="12.75">
      <c r="B283" s="25">
        <f t="shared" si="29"/>
        <v>57</v>
      </c>
      <c r="C283" s="9"/>
      <c r="D283" s="9"/>
      <c r="E283" s="9"/>
      <c r="F283" s="31" t="s">
        <v>148</v>
      </c>
      <c r="G283" s="40">
        <v>710</v>
      </c>
      <c r="H283" s="9" t="s">
        <v>180</v>
      </c>
      <c r="I283" s="72"/>
      <c r="J283" s="72"/>
      <c r="K283" s="190"/>
      <c r="L283" s="177"/>
      <c r="M283" s="72">
        <f>M284</f>
        <v>57400</v>
      </c>
      <c r="N283" s="72">
        <f>N284</f>
        <v>17277</v>
      </c>
      <c r="O283" s="189">
        <f>N283/M283*100</f>
        <v>30.0993031358885</v>
      </c>
      <c r="P283" s="177"/>
      <c r="Q283" s="72">
        <f t="shared" si="26"/>
        <v>57400</v>
      </c>
      <c r="R283" s="72">
        <f t="shared" si="27"/>
        <v>17277</v>
      </c>
      <c r="S283" s="188">
        <f t="shared" si="28"/>
        <v>30.0993031358885</v>
      </c>
    </row>
    <row r="284" spans="2:19" ht="12.75">
      <c r="B284" s="25">
        <f t="shared" si="29"/>
        <v>58</v>
      </c>
      <c r="C284" s="4"/>
      <c r="D284" s="4"/>
      <c r="E284" s="4"/>
      <c r="F284" s="32" t="s">
        <v>148</v>
      </c>
      <c r="G284" s="41">
        <v>717</v>
      </c>
      <c r="H284" s="4" t="s">
        <v>190</v>
      </c>
      <c r="I284" s="71"/>
      <c r="J284" s="71"/>
      <c r="K284" s="190"/>
      <c r="L284" s="178"/>
      <c r="M284" s="71">
        <f>SUM(M285:M287)</f>
        <v>57400</v>
      </c>
      <c r="N284" s="71">
        <f>SUM(N285:N287)</f>
        <v>17277</v>
      </c>
      <c r="O284" s="189">
        <f>N284/M284*100</f>
        <v>30.0993031358885</v>
      </c>
      <c r="P284" s="178"/>
      <c r="Q284" s="71">
        <f>I284+M284</f>
        <v>57400</v>
      </c>
      <c r="R284" s="71">
        <f t="shared" si="27"/>
        <v>17277</v>
      </c>
      <c r="S284" s="188">
        <f t="shared" si="28"/>
        <v>30.0993031358885</v>
      </c>
    </row>
    <row r="285" spans="2:19" ht="12.75">
      <c r="B285" s="25">
        <f t="shared" si="29"/>
        <v>59</v>
      </c>
      <c r="C285" s="5"/>
      <c r="D285" s="5"/>
      <c r="E285" s="5"/>
      <c r="F285" s="33"/>
      <c r="G285" s="42"/>
      <c r="H285" s="24" t="s">
        <v>415</v>
      </c>
      <c r="I285" s="75"/>
      <c r="J285" s="75"/>
      <c r="K285" s="190"/>
      <c r="L285" s="99"/>
      <c r="M285" s="75">
        <v>15000</v>
      </c>
      <c r="N285" s="75">
        <v>14930</v>
      </c>
      <c r="O285" s="189">
        <f>N285/M285*100</f>
        <v>99.53333333333333</v>
      </c>
      <c r="P285" s="99"/>
      <c r="Q285" s="75">
        <f>I285+M285</f>
        <v>15000</v>
      </c>
      <c r="R285" s="75">
        <f t="shared" si="27"/>
        <v>14930</v>
      </c>
      <c r="S285" s="188">
        <f t="shared" si="28"/>
        <v>99.53333333333333</v>
      </c>
    </row>
    <row r="286" spans="2:19" ht="12.75">
      <c r="B286" s="25">
        <f t="shared" si="29"/>
        <v>60</v>
      </c>
      <c r="C286" s="5"/>
      <c r="D286" s="5"/>
      <c r="E286" s="5"/>
      <c r="F286" s="33"/>
      <c r="G286" s="42"/>
      <c r="H286" s="24" t="s">
        <v>476</v>
      </c>
      <c r="I286" s="75"/>
      <c r="J286" s="75"/>
      <c r="K286" s="190"/>
      <c r="L286" s="99"/>
      <c r="M286" s="75">
        <f>18000+9400</f>
        <v>27400</v>
      </c>
      <c r="N286" s="75">
        <v>2347</v>
      </c>
      <c r="O286" s="189">
        <f>N286/M286*100</f>
        <v>8.565693430656934</v>
      </c>
      <c r="P286" s="99"/>
      <c r="Q286" s="75">
        <f>I286+M286</f>
        <v>27400</v>
      </c>
      <c r="R286" s="75">
        <f t="shared" si="27"/>
        <v>2347</v>
      </c>
      <c r="S286" s="188">
        <f t="shared" si="28"/>
        <v>8.565693430656934</v>
      </c>
    </row>
    <row r="287" spans="2:19" ht="12.75">
      <c r="B287" s="25">
        <f t="shared" si="29"/>
        <v>61</v>
      </c>
      <c r="C287" s="5"/>
      <c r="D287" s="5"/>
      <c r="E287" s="5"/>
      <c r="F287" s="33"/>
      <c r="G287" s="42"/>
      <c r="H287" s="24" t="s">
        <v>414</v>
      </c>
      <c r="I287" s="75"/>
      <c r="J287" s="75"/>
      <c r="K287" s="190"/>
      <c r="L287" s="99"/>
      <c r="M287" s="75">
        <v>15000</v>
      </c>
      <c r="N287" s="75">
        <v>0</v>
      </c>
      <c r="O287" s="189">
        <f>N287/M287*100</f>
        <v>0</v>
      </c>
      <c r="P287" s="99"/>
      <c r="Q287" s="75">
        <f>I287+M287</f>
        <v>15000</v>
      </c>
      <c r="R287" s="75">
        <f t="shared" si="27"/>
        <v>0</v>
      </c>
      <c r="S287" s="188">
        <f t="shared" si="28"/>
        <v>0</v>
      </c>
    </row>
    <row r="288" spans="2:19" ht="15">
      <c r="B288" s="25">
        <f t="shared" si="29"/>
        <v>62</v>
      </c>
      <c r="C288" s="7">
        <v>7</v>
      </c>
      <c r="D288" s="277" t="s">
        <v>39</v>
      </c>
      <c r="E288" s="278"/>
      <c r="F288" s="278"/>
      <c r="G288" s="278"/>
      <c r="H288" s="279"/>
      <c r="I288" s="79">
        <f>I289</f>
        <v>2300</v>
      </c>
      <c r="J288" s="79">
        <f>J289</f>
        <v>25</v>
      </c>
      <c r="K288" s="190">
        <f t="shared" si="25"/>
        <v>1.0869565217391304</v>
      </c>
      <c r="L288" s="175"/>
      <c r="M288" s="79">
        <v>0</v>
      </c>
      <c r="N288" s="79">
        <v>0</v>
      </c>
      <c r="O288" s="189"/>
      <c r="P288" s="175"/>
      <c r="Q288" s="79">
        <f aca="true" t="shared" si="30" ref="Q288:Q294">I288+M288</f>
        <v>2300</v>
      </c>
      <c r="R288" s="79">
        <f t="shared" si="27"/>
        <v>25</v>
      </c>
      <c r="S288" s="188">
        <f t="shared" si="28"/>
        <v>1.0869565217391304</v>
      </c>
    </row>
    <row r="289" spans="2:19" ht="15">
      <c r="B289" s="25">
        <f t="shared" si="29"/>
        <v>63</v>
      </c>
      <c r="C289" s="12"/>
      <c r="D289" s="12"/>
      <c r="E289" s="12">
        <v>2</v>
      </c>
      <c r="F289" s="35"/>
      <c r="G289" s="43"/>
      <c r="H289" s="12" t="s">
        <v>15</v>
      </c>
      <c r="I289" s="82">
        <f>I290</f>
        <v>2300</v>
      </c>
      <c r="J289" s="82">
        <f>J290</f>
        <v>25</v>
      </c>
      <c r="K289" s="190">
        <f t="shared" si="25"/>
        <v>1.0869565217391304</v>
      </c>
      <c r="L289" s="182"/>
      <c r="M289" s="82"/>
      <c r="N289" s="82"/>
      <c r="O289" s="189"/>
      <c r="P289" s="182"/>
      <c r="Q289" s="82">
        <f t="shared" si="30"/>
        <v>2300</v>
      </c>
      <c r="R289" s="82">
        <f t="shared" si="27"/>
        <v>25</v>
      </c>
      <c r="S289" s="188">
        <f t="shared" si="28"/>
        <v>1.0869565217391304</v>
      </c>
    </row>
    <row r="290" spans="2:19" ht="12.75">
      <c r="B290" s="25">
        <f t="shared" si="29"/>
        <v>64</v>
      </c>
      <c r="C290" s="9"/>
      <c r="D290" s="9"/>
      <c r="E290" s="9"/>
      <c r="F290" s="31" t="s">
        <v>227</v>
      </c>
      <c r="G290" s="40">
        <v>630</v>
      </c>
      <c r="H290" s="9" t="s">
        <v>125</v>
      </c>
      <c r="I290" s="72">
        <f>SUM(I291:I294)</f>
        <v>2300</v>
      </c>
      <c r="J290" s="72">
        <f>SUM(J291:J294)</f>
        <v>25</v>
      </c>
      <c r="K290" s="190">
        <f>J290/I290*100</f>
        <v>1.0869565217391304</v>
      </c>
      <c r="L290" s="177"/>
      <c r="M290" s="72"/>
      <c r="N290" s="72"/>
      <c r="O290" s="189"/>
      <c r="P290" s="177"/>
      <c r="Q290" s="72">
        <f t="shared" si="30"/>
        <v>2300</v>
      </c>
      <c r="R290" s="72">
        <f>J290+N290</f>
        <v>25</v>
      </c>
      <c r="S290" s="188">
        <f>R290/Q290*100</f>
        <v>1.0869565217391304</v>
      </c>
    </row>
    <row r="291" spans="2:19" ht="12.75">
      <c r="B291" s="25">
        <f t="shared" si="29"/>
        <v>65</v>
      </c>
      <c r="C291" s="4"/>
      <c r="D291" s="4"/>
      <c r="E291" s="4"/>
      <c r="F291" s="32" t="s">
        <v>227</v>
      </c>
      <c r="G291" s="41">
        <v>633</v>
      </c>
      <c r="H291" s="4" t="s">
        <v>129</v>
      </c>
      <c r="I291" s="71">
        <v>700</v>
      </c>
      <c r="J291" s="71">
        <v>0</v>
      </c>
      <c r="K291" s="190">
        <f>J291/I291*100</f>
        <v>0</v>
      </c>
      <c r="L291" s="178"/>
      <c r="M291" s="71"/>
      <c r="N291" s="71"/>
      <c r="O291" s="189"/>
      <c r="P291" s="178"/>
      <c r="Q291" s="71">
        <f t="shared" si="30"/>
        <v>700</v>
      </c>
      <c r="R291" s="71">
        <f>J291+N291</f>
        <v>0</v>
      </c>
      <c r="S291" s="188">
        <f>R291/Q291*100</f>
        <v>0</v>
      </c>
    </row>
    <row r="292" spans="2:19" ht="12.75">
      <c r="B292" s="25">
        <f t="shared" si="29"/>
        <v>66</v>
      </c>
      <c r="C292" s="4"/>
      <c r="D292" s="4"/>
      <c r="E292" s="4"/>
      <c r="F292" s="32" t="s">
        <v>227</v>
      </c>
      <c r="G292" s="41">
        <v>634</v>
      </c>
      <c r="H292" s="4" t="s">
        <v>135</v>
      </c>
      <c r="I292" s="71">
        <v>400</v>
      </c>
      <c r="J292" s="71">
        <v>25</v>
      </c>
      <c r="K292" s="190">
        <f>J292/I292*100</f>
        <v>6.25</v>
      </c>
      <c r="L292" s="178"/>
      <c r="M292" s="71"/>
      <c r="N292" s="71"/>
      <c r="O292" s="189"/>
      <c r="P292" s="178"/>
      <c r="Q292" s="71">
        <f t="shared" si="30"/>
        <v>400</v>
      </c>
      <c r="R292" s="71">
        <f>J292+N292</f>
        <v>25</v>
      </c>
      <c r="S292" s="188">
        <f>R292/Q292*100</f>
        <v>6.25</v>
      </c>
    </row>
    <row r="293" spans="2:19" ht="12.75">
      <c r="B293" s="25">
        <f t="shared" si="29"/>
        <v>67</v>
      </c>
      <c r="C293" s="4"/>
      <c r="D293" s="4"/>
      <c r="E293" s="4"/>
      <c r="F293" s="32" t="s">
        <v>227</v>
      </c>
      <c r="G293" s="41">
        <v>635</v>
      </c>
      <c r="H293" s="4" t="s">
        <v>136</v>
      </c>
      <c r="I293" s="71">
        <v>1000</v>
      </c>
      <c r="J293" s="71">
        <v>0</v>
      </c>
      <c r="K293" s="190">
        <f>J293/I293*100</f>
        <v>0</v>
      </c>
      <c r="L293" s="178"/>
      <c r="M293" s="71"/>
      <c r="N293" s="71"/>
      <c r="O293" s="189"/>
      <c r="P293" s="178"/>
      <c r="Q293" s="71">
        <f t="shared" si="30"/>
        <v>1000</v>
      </c>
      <c r="R293" s="71">
        <f>J293+N293</f>
        <v>0</v>
      </c>
      <c r="S293" s="188">
        <f>R293/Q293*100</f>
        <v>0</v>
      </c>
    </row>
    <row r="294" spans="2:19" ht="12.75">
      <c r="B294" s="25">
        <f>B293+1</f>
        <v>68</v>
      </c>
      <c r="C294" s="4"/>
      <c r="D294" s="4"/>
      <c r="E294" s="4"/>
      <c r="F294" s="32" t="s">
        <v>227</v>
      </c>
      <c r="G294" s="41">
        <v>637</v>
      </c>
      <c r="H294" s="4" t="s">
        <v>126</v>
      </c>
      <c r="I294" s="71">
        <v>200</v>
      </c>
      <c r="J294" s="71">
        <v>0</v>
      </c>
      <c r="K294" s="190">
        <f>J294/I294*100</f>
        <v>0</v>
      </c>
      <c r="L294" s="178"/>
      <c r="M294" s="71"/>
      <c r="N294" s="71"/>
      <c r="O294" s="189"/>
      <c r="P294" s="178"/>
      <c r="Q294" s="71">
        <f t="shared" si="30"/>
        <v>200</v>
      </c>
      <c r="R294" s="71">
        <f>J294+N294</f>
        <v>0</v>
      </c>
      <c r="S294" s="188">
        <f>R294/Q294*100</f>
        <v>0</v>
      </c>
    </row>
    <row r="329" spans="2:17" ht="27.75" thickBot="1">
      <c r="B329" s="287" t="s">
        <v>23</v>
      </c>
      <c r="C329" s="288"/>
      <c r="D329" s="288"/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</row>
    <row r="330" spans="2:19" ht="12.75" customHeight="1" thickBot="1">
      <c r="B330" s="269" t="s">
        <v>309</v>
      </c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170"/>
      <c r="Q330" s="274" t="s">
        <v>515</v>
      </c>
      <c r="R330" s="265" t="s">
        <v>569</v>
      </c>
      <c r="S330" s="266" t="s">
        <v>564</v>
      </c>
    </row>
    <row r="331" spans="2:19" ht="12.75" customHeight="1" thickBot="1">
      <c r="B331" s="275"/>
      <c r="C331" s="273" t="s">
        <v>118</v>
      </c>
      <c r="D331" s="273" t="s">
        <v>119</v>
      </c>
      <c r="E331" s="276"/>
      <c r="F331" s="273" t="s">
        <v>120</v>
      </c>
      <c r="G331" s="270" t="s">
        <v>121</v>
      </c>
      <c r="H331" s="271" t="s">
        <v>122</v>
      </c>
      <c r="I331" s="267" t="s">
        <v>565</v>
      </c>
      <c r="J331" s="267" t="s">
        <v>566</v>
      </c>
      <c r="K331" s="268" t="s">
        <v>564</v>
      </c>
      <c r="L331" s="168"/>
      <c r="M331" s="272" t="s">
        <v>567</v>
      </c>
      <c r="N331" s="267" t="s">
        <v>568</v>
      </c>
      <c r="O331" s="268" t="s">
        <v>564</v>
      </c>
      <c r="P331" s="171"/>
      <c r="Q331" s="274"/>
      <c r="R331" s="265"/>
      <c r="S331" s="266"/>
    </row>
    <row r="332" spans="2:19" ht="13.5" thickBot="1">
      <c r="B332" s="275"/>
      <c r="C332" s="273"/>
      <c r="D332" s="273"/>
      <c r="E332" s="276"/>
      <c r="F332" s="273"/>
      <c r="G332" s="270"/>
      <c r="H332" s="271"/>
      <c r="I332" s="267"/>
      <c r="J332" s="267"/>
      <c r="K332" s="268"/>
      <c r="L332" s="168"/>
      <c r="M332" s="272"/>
      <c r="N332" s="267"/>
      <c r="O332" s="268"/>
      <c r="P332" s="171"/>
      <c r="Q332" s="274"/>
      <c r="R332" s="265"/>
      <c r="S332" s="266"/>
    </row>
    <row r="333" spans="2:19" ht="13.5" thickBot="1">
      <c r="B333" s="275"/>
      <c r="C333" s="273"/>
      <c r="D333" s="273"/>
      <c r="E333" s="276"/>
      <c r="F333" s="273"/>
      <c r="G333" s="270"/>
      <c r="H333" s="271"/>
      <c r="I333" s="267"/>
      <c r="J333" s="267"/>
      <c r="K333" s="268"/>
      <c r="L333" s="168"/>
      <c r="M333" s="272"/>
      <c r="N333" s="267"/>
      <c r="O333" s="268"/>
      <c r="P333" s="171"/>
      <c r="Q333" s="274"/>
      <c r="R333" s="265"/>
      <c r="S333" s="266"/>
    </row>
    <row r="334" spans="2:19" ht="13.5" thickBot="1">
      <c r="B334" s="275"/>
      <c r="C334" s="273"/>
      <c r="D334" s="273"/>
      <c r="E334" s="276"/>
      <c r="F334" s="273"/>
      <c r="G334" s="270"/>
      <c r="H334" s="271"/>
      <c r="I334" s="267"/>
      <c r="J334" s="267"/>
      <c r="K334" s="268"/>
      <c r="L334" s="169"/>
      <c r="M334" s="272"/>
      <c r="N334" s="267"/>
      <c r="O334" s="268"/>
      <c r="P334" s="171"/>
      <c r="Q334" s="274"/>
      <c r="R334" s="265"/>
      <c r="S334" s="266"/>
    </row>
    <row r="335" spans="2:19" ht="16.5" thickTop="1">
      <c r="B335" s="28">
        <v>1</v>
      </c>
      <c r="C335" s="281" t="s">
        <v>23</v>
      </c>
      <c r="D335" s="285"/>
      <c r="E335" s="285"/>
      <c r="F335" s="285"/>
      <c r="G335" s="285"/>
      <c r="H335" s="286"/>
      <c r="I335" s="81">
        <f>I336+I349+I363+I369+I372</f>
        <v>2265895</v>
      </c>
      <c r="J335" s="81">
        <f>J336+J349+J363+J369+J372</f>
        <v>881536</v>
      </c>
      <c r="K335" s="189">
        <f aca="true" t="shared" si="31" ref="K335:K381">J335/I335*100</f>
        <v>38.904538824614555</v>
      </c>
      <c r="L335" s="179"/>
      <c r="M335" s="81">
        <f>M336+M349+M363+M369+M372</f>
        <v>20000</v>
      </c>
      <c r="N335" s="81">
        <f>N336+N349+N363+N369+N372</f>
        <v>0</v>
      </c>
      <c r="O335" s="189">
        <f>N335/M335*100</f>
        <v>0</v>
      </c>
      <c r="P335" s="179"/>
      <c r="Q335" s="81">
        <f aca="true" t="shared" si="32" ref="Q335:Q381">I335+M335</f>
        <v>2285895</v>
      </c>
      <c r="R335" s="81">
        <f aca="true" t="shared" si="33" ref="R335:R381">J335+N335</f>
        <v>881536</v>
      </c>
      <c r="S335" s="188">
        <f aca="true" t="shared" si="34" ref="S335:S381">R335/Q335*100</f>
        <v>38.56415102180984</v>
      </c>
    </row>
    <row r="336" spans="2:19" ht="15">
      <c r="B336" s="28">
        <f>B335+1</f>
        <v>2</v>
      </c>
      <c r="C336" s="7">
        <v>1</v>
      </c>
      <c r="D336" s="277" t="s">
        <v>155</v>
      </c>
      <c r="E336" s="278"/>
      <c r="F336" s="278"/>
      <c r="G336" s="278"/>
      <c r="H336" s="279"/>
      <c r="I336" s="79">
        <f>I337+I338+I339+I348</f>
        <v>1439970</v>
      </c>
      <c r="J336" s="79">
        <f>J337+J338+J339+J348</f>
        <v>528079</v>
      </c>
      <c r="K336" s="190">
        <f t="shared" si="31"/>
        <v>36.672916796877715</v>
      </c>
      <c r="L336" s="175"/>
      <c r="M336" s="79">
        <v>0</v>
      </c>
      <c r="N336" s="79">
        <v>0</v>
      </c>
      <c r="O336" s="189"/>
      <c r="P336" s="175"/>
      <c r="Q336" s="79">
        <f t="shared" si="32"/>
        <v>1439970</v>
      </c>
      <c r="R336" s="79">
        <f t="shared" si="33"/>
        <v>528079</v>
      </c>
      <c r="S336" s="188">
        <f t="shared" si="34"/>
        <v>36.672916796877715</v>
      </c>
    </row>
    <row r="337" spans="2:19" ht="12.75">
      <c r="B337" s="25">
        <f>B336+1</f>
        <v>3</v>
      </c>
      <c r="C337" s="9"/>
      <c r="D337" s="9"/>
      <c r="E337" s="9"/>
      <c r="F337" s="31" t="s">
        <v>154</v>
      </c>
      <c r="G337" s="40">
        <v>610</v>
      </c>
      <c r="H337" s="9" t="s">
        <v>134</v>
      </c>
      <c r="I337" s="72">
        <v>896600</v>
      </c>
      <c r="J337" s="72">
        <v>345057</v>
      </c>
      <c r="K337" s="190">
        <f t="shared" si="31"/>
        <v>38.48505465090341</v>
      </c>
      <c r="L337" s="177"/>
      <c r="M337" s="72"/>
      <c r="N337" s="72"/>
      <c r="O337" s="189"/>
      <c r="P337" s="177"/>
      <c r="Q337" s="72">
        <f t="shared" si="32"/>
        <v>896600</v>
      </c>
      <c r="R337" s="72">
        <f t="shared" si="33"/>
        <v>345057</v>
      </c>
      <c r="S337" s="188">
        <f t="shared" si="34"/>
        <v>38.48505465090341</v>
      </c>
    </row>
    <row r="338" spans="2:19" ht="12.75">
      <c r="B338" s="25">
        <f aca="true" t="shared" si="35" ref="B338:B381">B337+1</f>
        <v>4</v>
      </c>
      <c r="C338" s="9"/>
      <c r="D338" s="9"/>
      <c r="E338" s="9"/>
      <c r="F338" s="31" t="s">
        <v>154</v>
      </c>
      <c r="G338" s="40">
        <v>620</v>
      </c>
      <c r="H338" s="9" t="s">
        <v>128</v>
      </c>
      <c r="I338" s="72">
        <v>310000</v>
      </c>
      <c r="J338" s="72">
        <v>126117</v>
      </c>
      <c r="K338" s="190">
        <f t="shared" si="31"/>
        <v>40.68290322580645</v>
      </c>
      <c r="L338" s="177"/>
      <c r="M338" s="72"/>
      <c r="N338" s="72"/>
      <c r="O338" s="189"/>
      <c r="P338" s="177"/>
      <c r="Q338" s="72">
        <f t="shared" si="32"/>
        <v>310000</v>
      </c>
      <c r="R338" s="72">
        <f t="shared" si="33"/>
        <v>126117</v>
      </c>
      <c r="S338" s="188">
        <f t="shared" si="34"/>
        <v>40.68290322580645</v>
      </c>
    </row>
    <row r="339" spans="2:19" ht="12.75">
      <c r="B339" s="25">
        <f t="shared" si="35"/>
        <v>5</v>
      </c>
      <c r="C339" s="9"/>
      <c r="D339" s="9"/>
      <c r="E339" s="9"/>
      <c r="F339" s="31" t="s">
        <v>154</v>
      </c>
      <c r="G339" s="40">
        <v>630</v>
      </c>
      <c r="H339" s="9" t="s">
        <v>125</v>
      </c>
      <c r="I339" s="72">
        <f>I340+I341+I342+I343+I344+I345+I346+I347</f>
        <v>231700</v>
      </c>
      <c r="J339" s="72">
        <f>J340+J341+J342+J343+J344+J345+J346+J347</f>
        <v>55755</v>
      </c>
      <c r="K339" s="190">
        <f t="shared" si="31"/>
        <v>24.063444108761328</v>
      </c>
      <c r="L339" s="177"/>
      <c r="M339" s="72"/>
      <c r="N339" s="72"/>
      <c r="O339" s="189"/>
      <c r="P339" s="177"/>
      <c r="Q339" s="72">
        <f t="shared" si="32"/>
        <v>231700</v>
      </c>
      <c r="R339" s="72">
        <f t="shared" si="33"/>
        <v>55755</v>
      </c>
      <c r="S339" s="188">
        <f t="shared" si="34"/>
        <v>24.063444108761328</v>
      </c>
    </row>
    <row r="340" spans="2:19" ht="12.75">
      <c r="B340" s="25">
        <f t="shared" si="35"/>
        <v>6</v>
      </c>
      <c r="C340" s="4"/>
      <c r="D340" s="4"/>
      <c r="E340" s="4"/>
      <c r="F340" s="32" t="s">
        <v>154</v>
      </c>
      <c r="G340" s="41">
        <v>631</v>
      </c>
      <c r="H340" s="4" t="s">
        <v>131</v>
      </c>
      <c r="I340" s="71">
        <v>8000</v>
      </c>
      <c r="J340" s="71">
        <v>12</v>
      </c>
      <c r="K340" s="190">
        <f t="shared" si="31"/>
        <v>0.15</v>
      </c>
      <c r="L340" s="178"/>
      <c r="M340" s="71"/>
      <c r="N340" s="71"/>
      <c r="O340" s="189"/>
      <c r="P340" s="178"/>
      <c r="Q340" s="71">
        <f t="shared" si="32"/>
        <v>8000</v>
      </c>
      <c r="R340" s="71">
        <f t="shared" si="33"/>
        <v>12</v>
      </c>
      <c r="S340" s="188">
        <f t="shared" si="34"/>
        <v>0.15</v>
      </c>
    </row>
    <row r="341" spans="2:19" ht="12.75">
      <c r="B341" s="25">
        <f t="shared" si="35"/>
        <v>7</v>
      </c>
      <c r="C341" s="4"/>
      <c r="D341" s="4"/>
      <c r="E341" s="4"/>
      <c r="F341" s="32" t="s">
        <v>154</v>
      </c>
      <c r="G341" s="41">
        <v>632</v>
      </c>
      <c r="H341" s="4" t="s">
        <v>138</v>
      </c>
      <c r="I341" s="71">
        <v>28000</v>
      </c>
      <c r="J341" s="71">
        <v>9719</v>
      </c>
      <c r="K341" s="190">
        <f t="shared" si="31"/>
        <v>34.71071428571428</v>
      </c>
      <c r="L341" s="178"/>
      <c r="M341" s="71"/>
      <c r="N341" s="71"/>
      <c r="O341" s="189"/>
      <c r="P341" s="178"/>
      <c r="Q341" s="71">
        <f t="shared" si="32"/>
        <v>28000</v>
      </c>
      <c r="R341" s="71">
        <f t="shared" si="33"/>
        <v>9719</v>
      </c>
      <c r="S341" s="188">
        <f t="shared" si="34"/>
        <v>34.71071428571428</v>
      </c>
    </row>
    <row r="342" spans="2:19" ht="12.75">
      <c r="B342" s="25">
        <f t="shared" si="35"/>
        <v>8</v>
      </c>
      <c r="C342" s="4"/>
      <c r="D342" s="4"/>
      <c r="E342" s="4"/>
      <c r="F342" s="32" t="s">
        <v>154</v>
      </c>
      <c r="G342" s="41">
        <v>633</v>
      </c>
      <c r="H342" s="4" t="s">
        <v>129</v>
      </c>
      <c r="I342" s="71">
        <v>65450</v>
      </c>
      <c r="J342" s="71">
        <v>7723</v>
      </c>
      <c r="K342" s="190">
        <f t="shared" si="31"/>
        <v>11.799847211611917</v>
      </c>
      <c r="L342" s="178"/>
      <c r="M342" s="71"/>
      <c r="N342" s="71"/>
      <c r="O342" s="189"/>
      <c r="P342" s="178"/>
      <c r="Q342" s="71">
        <f t="shared" si="32"/>
        <v>65450</v>
      </c>
      <c r="R342" s="71">
        <f t="shared" si="33"/>
        <v>7723</v>
      </c>
      <c r="S342" s="188">
        <f t="shared" si="34"/>
        <v>11.799847211611917</v>
      </c>
    </row>
    <row r="343" spans="2:19" ht="12.75">
      <c r="B343" s="25">
        <f t="shared" si="35"/>
        <v>9</v>
      </c>
      <c r="C343" s="4"/>
      <c r="D343" s="4"/>
      <c r="E343" s="4"/>
      <c r="F343" s="32" t="s">
        <v>154</v>
      </c>
      <c r="G343" s="41">
        <v>634</v>
      </c>
      <c r="H343" s="4" t="s">
        <v>135</v>
      </c>
      <c r="I343" s="71">
        <v>36580</v>
      </c>
      <c r="J343" s="71">
        <v>13498</v>
      </c>
      <c r="K343" s="190">
        <f t="shared" si="31"/>
        <v>36.899945325314384</v>
      </c>
      <c r="L343" s="178"/>
      <c r="M343" s="71"/>
      <c r="N343" s="71"/>
      <c r="O343" s="189"/>
      <c r="P343" s="178"/>
      <c r="Q343" s="71">
        <f t="shared" si="32"/>
        <v>36580</v>
      </c>
      <c r="R343" s="71">
        <f t="shared" si="33"/>
        <v>13498</v>
      </c>
      <c r="S343" s="188">
        <f t="shared" si="34"/>
        <v>36.899945325314384</v>
      </c>
    </row>
    <row r="344" spans="2:19" ht="12.75">
      <c r="B344" s="25">
        <f t="shared" si="35"/>
        <v>10</v>
      </c>
      <c r="C344" s="4"/>
      <c r="D344" s="4"/>
      <c r="E344" s="4"/>
      <c r="F344" s="32" t="s">
        <v>154</v>
      </c>
      <c r="G344" s="41">
        <v>635</v>
      </c>
      <c r="H344" s="4" t="s">
        <v>136</v>
      </c>
      <c r="I344" s="71">
        <v>25200</v>
      </c>
      <c r="J344" s="71">
        <v>4516</v>
      </c>
      <c r="K344" s="190">
        <f t="shared" si="31"/>
        <v>17.92063492063492</v>
      </c>
      <c r="L344" s="178"/>
      <c r="M344" s="71"/>
      <c r="N344" s="71"/>
      <c r="O344" s="189"/>
      <c r="P344" s="178"/>
      <c r="Q344" s="71">
        <f t="shared" si="32"/>
        <v>25200</v>
      </c>
      <c r="R344" s="71">
        <f t="shared" si="33"/>
        <v>4516</v>
      </c>
      <c r="S344" s="188">
        <f t="shared" si="34"/>
        <v>17.92063492063492</v>
      </c>
    </row>
    <row r="345" spans="2:19" ht="12.75">
      <c r="B345" s="25">
        <f t="shared" si="35"/>
        <v>11</v>
      </c>
      <c r="C345" s="4"/>
      <c r="D345" s="4"/>
      <c r="E345" s="4"/>
      <c r="F345" s="32" t="s">
        <v>154</v>
      </c>
      <c r="G345" s="41">
        <v>636</v>
      </c>
      <c r="H345" s="4" t="s">
        <v>130</v>
      </c>
      <c r="I345" s="71">
        <v>2000</v>
      </c>
      <c r="J345" s="71">
        <v>0</v>
      </c>
      <c r="K345" s="190">
        <f t="shared" si="31"/>
        <v>0</v>
      </c>
      <c r="L345" s="178"/>
      <c r="M345" s="71"/>
      <c r="N345" s="71"/>
      <c r="O345" s="189"/>
      <c r="P345" s="178"/>
      <c r="Q345" s="71">
        <f t="shared" si="32"/>
        <v>2000</v>
      </c>
      <c r="R345" s="71">
        <f t="shared" si="33"/>
        <v>0</v>
      </c>
      <c r="S345" s="188">
        <f t="shared" si="34"/>
        <v>0</v>
      </c>
    </row>
    <row r="346" spans="2:19" ht="12.75">
      <c r="B346" s="25">
        <f t="shared" si="35"/>
        <v>12</v>
      </c>
      <c r="C346" s="4"/>
      <c r="D346" s="4"/>
      <c r="E346" s="4"/>
      <c r="F346" s="32" t="s">
        <v>154</v>
      </c>
      <c r="G346" s="41">
        <v>637</v>
      </c>
      <c r="H346" s="4" t="s">
        <v>126</v>
      </c>
      <c r="I346" s="71">
        <v>56470</v>
      </c>
      <c r="J346" s="71">
        <f>20287-J347</f>
        <v>19221</v>
      </c>
      <c r="K346" s="190">
        <f t="shared" si="31"/>
        <v>34.037542057729766</v>
      </c>
      <c r="L346" s="178"/>
      <c r="M346" s="71"/>
      <c r="N346" s="71"/>
      <c r="O346" s="189"/>
      <c r="P346" s="178"/>
      <c r="Q346" s="71">
        <f t="shared" si="32"/>
        <v>56470</v>
      </c>
      <c r="R346" s="71">
        <f t="shared" si="33"/>
        <v>19221</v>
      </c>
      <c r="S346" s="188">
        <f t="shared" si="34"/>
        <v>34.037542057729766</v>
      </c>
    </row>
    <row r="347" spans="2:19" ht="12.75">
      <c r="B347" s="25">
        <f t="shared" si="35"/>
        <v>13</v>
      </c>
      <c r="C347" s="4"/>
      <c r="D347" s="4"/>
      <c r="E347" s="4"/>
      <c r="F347" s="32" t="s">
        <v>154</v>
      </c>
      <c r="G347" s="41">
        <v>637</v>
      </c>
      <c r="H347" s="4" t="s">
        <v>295</v>
      </c>
      <c r="I347" s="71">
        <v>10000</v>
      </c>
      <c r="J347" s="71">
        <v>1066</v>
      </c>
      <c r="K347" s="190">
        <f t="shared" si="31"/>
        <v>10.66</v>
      </c>
      <c r="L347" s="178"/>
      <c r="M347" s="71"/>
      <c r="N347" s="71"/>
      <c r="O347" s="189"/>
      <c r="P347" s="178"/>
      <c r="Q347" s="71">
        <f t="shared" si="32"/>
        <v>10000</v>
      </c>
      <c r="R347" s="71">
        <f t="shared" si="33"/>
        <v>1066</v>
      </c>
      <c r="S347" s="188">
        <f t="shared" si="34"/>
        <v>10.66</v>
      </c>
    </row>
    <row r="348" spans="2:19" ht="12.75">
      <c r="B348" s="25">
        <f t="shared" si="35"/>
        <v>14</v>
      </c>
      <c r="C348" s="9"/>
      <c r="D348" s="9"/>
      <c r="E348" s="9"/>
      <c r="F348" s="31" t="s">
        <v>154</v>
      </c>
      <c r="G348" s="40">
        <v>640</v>
      </c>
      <c r="H348" s="9" t="s">
        <v>132</v>
      </c>
      <c r="I348" s="72">
        <v>1670</v>
      </c>
      <c r="J348" s="72">
        <v>1150</v>
      </c>
      <c r="K348" s="190">
        <f t="shared" si="31"/>
        <v>68.8622754491018</v>
      </c>
      <c r="L348" s="177"/>
      <c r="M348" s="72"/>
      <c r="N348" s="72"/>
      <c r="O348" s="189"/>
      <c r="P348" s="177"/>
      <c r="Q348" s="72">
        <f t="shared" si="32"/>
        <v>1670</v>
      </c>
      <c r="R348" s="72">
        <f t="shared" si="33"/>
        <v>1150</v>
      </c>
      <c r="S348" s="188">
        <f t="shared" si="34"/>
        <v>68.8622754491018</v>
      </c>
    </row>
    <row r="349" spans="2:19" ht="15">
      <c r="B349" s="25">
        <f t="shared" si="35"/>
        <v>15</v>
      </c>
      <c r="C349" s="7">
        <v>2</v>
      </c>
      <c r="D349" s="277" t="s">
        <v>214</v>
      </c>
      <c r="E349" s="278"/>
      <c r="F349" s="278"/>
      <c r="G349" s="278"/>
      <c r="H349" s="279"/>
      <c r="I349" s="79">
        <f>I350+I352</f>
        <v>760555</v>
      </c>
      <c r="J349" s="79">
        <f>J350+J352</f>
        <v>334129</v>
      </c>
      <c r="K349" s="190">
        <f t="shared" si="31"/>
        <v>43.93225999434623</v>
      </c>
      <c r="L349" s="175"/>
      <c r="M349" s="79">
        <v>0</v>
      </c>
      <c r="N349" s="79">
        <v>0</v>
      </c>
      <c r="O349" s="189"/>
      <c r="P349" s="175"/>
      <c r="Q349" s="79">
        <f t="shared" si="32"/>
        <v>760555</v>
      </c>
      <c r="R349" s="79">
        <f t="shared" si="33"/>
        <v>334129</v>
      </c>
      <c r="S349" s="188">
        <f t="shared" si="34"/>
        <v>43.93225999434623</v>
      </c>
    </row>
    <row r="350" spans="2:19" ht="12.75">
      <c r="B350" s="25">
        <f t="shared" si="35"/>
        <v>16</v>
      </c>
      <c r="C350" s="9"/>
      <c r="D350" s="9"/>
      <c r="E350" s="9"/>
      <c r="F350" s="31" t="s">
        <v>213</v>
      </c>
      <c r="G350" s="40">
        <v>630</v>
      </c>
      <c r="H350" s="9" t="s">
        <v>125</v>
      </c>
      <c r="I350" s="72">
        <f>I351</f>
        <v>300</v>
      </c>
      <c r="J350" s="72">
        <f>J351</f>
        <v>76</v>
      </c>
      <c r="K350" s="190">
        <f t="shared" si="31"/>
        <v>25.333333333333336</v>
      </c>
      <c r="L350" s="177"/>
      <c r="M350" s="72"/>
      <c r="N350" s="72"/>
      <c r="O350" s="189"/>
      <c r="P350" s="177"/>
      <c r="Q350" s="72">
        <f t="shared" si="32"/>
        <v>300</v>
      </c>
      <c r="R350" s="72">
        <f t="shared" si="33"/>
        <v>76</v>
      </c>
      <c r="S350" s="188">
        <f t="shared" si="34"/>
        <v>25.333333333333336</v>
      </c>
    </row>
    <row r="351" spans="2:19" ht="12.75">
      <c r="B351" s="25">
        <f t="shared" si="35"/>
        <v>17</v>
      </c>
      <c r="C351" s="4"/>
      <c r="D351" s="4"/>
      <c r="E351" s="4"/>
      <c r="F351" s="32" t="s">
        <v>213</v>
      </c>
      <c r="G351" s="41">
        <v>632</v>
      </c>
      <c r="H351" s="4" t="s">
        <v>138</v>
      </c>
      <c r="I351" s="71">
        <v>300</v>
      </c>
      <c r="J351" s="71">
        <v>76</v>
      </c>
      <c r="K351" s="190">
        <f t="shared" si="31"/>
        <v>25.333333333333336</v>
      </c>
      <c r="L351" s="178"/>
      <c r="M351" s="71"/>
      <c r="N351" s="71"/>
      <c r="O351" s="189"/>
      <c r="P351" s="178"/>
      <c r="Q351" s="71">
        <f t="shared" si="32"/>
        <v>300</v>
      </c>
      <c r="R351" s="71">
        <f t="shared" si="33"/>
        <v>76</v>
      </c>
      <c r="S351" s="188">
        <f t="shared" si="34"/>
        <v>25.333333333333336</v>
      </c>
    </row>
    <row r="352" spans="2:19" ht="15">
      <c r="B352" s="25">
        <f t="shared" si="35"/>
        <v>18</v>
      </c>
      <c r="C352" s="12"/>
      <c r="D352" s="12"/>
      <c r="E352" s="12">
        <v>2</v>
      </c>
      <c r="F352" s="35"/>
      <c r="G352" s="43"/>
      <c r="H352" s="12" t="s">
        <v>15</v>
      </c>
      <c r="I352" s="82">
        <f>I353+I354+I355+I362</f>
        <v>760255</v>
      </c>
      <c r="J352" s="82">
        <f>J353+J354+J355+J362</f>
        <v>334053</v>
      </c>
      <c r="K352" s="190">
        <f t="shared" si="31"/>
        <v>43.939599213421815</v>
      </c>
      <c r="L352" s="182"/>
      <c r="M352" s="82"/>
      <c r="N352" s="82"/>
      <c r="O352" s="189"/>
      <c r="P352" s="182"/>
      <c r="Q352" s="82">
        <f t="shared" si="32"/>
        <v>760255</v>
      </c>
      <c r="R352" s="82">
        <f t="shared" si="33"/>
        <v>334053</v>
      </c>
      <c r="S352" s="188">
        <f t="shared" si="34"/>
        <v>43.939599213421815</v>
      </c>
    </row>
    <row r="353" spans="2:19" ht="12.75">
      <c r="B353" s="25">
        <f t="shared" si="35"/>
        <v>19</v>
      </c>
      <c r="C353" s="9"/>
      <c r="D353" s="9"/>
      <c r="E353" s="9"/>
      <c r="F353" s="31" t="s">
        <v>213</v>
      </c>
      <c r="G353" s="40">
        <v>610</v>
      </c>
      <c r="H353" s="9" t="s">
        <v>134</v>
      </c>
      <c r="I353" s="72">
        <v>62240</v>
      </c>
      <c r="J353" s="72">
        <v>17102</v>
      </c>
      <c r="K353" s="190">
        <f t="shared" si="31"/>
        <v>27.47750642673522</v>
      </c>
      <c r="L353" s="177"/>
      <c r="M353" s="72"/>
      <c r="N353" s="72"/>
      <c r="O353" s="189"/>
      <c r="P353" s="177"/>
      <c r="Q353" s="72">
        <f t="shared" si="32"/>
        <v>62240</v>
      </c>
      <c r="R353" s="72">
        <f t="shared" si="33"/>
        <v>17102</v>
      </c>
      <c r="S353" s="188">
        <f t="shared" si="34"/>
        <v>27.47750642673522</v>
      </c>
    </row>
    <row r="354" spans="2:19" ht="12.75">
      <c r="B354" s="25">
        <f t="shared" si="35"/>
        <v>20</v>
      </c>
      <c r="C354" s="9"/>
      <c r="D354" s="9"/>
      <c r="E354" s="9"/>
      <c r="F354" s="31" t="s">
        <v>213</v>
      </c>
      <c r="G354" s="40">
        <v>620</v>
      </c>
      <c r="H354" s="9" t="s">
        <v>128</v>
      </c>
      <c r="I354" s="72">
        <v>26480</v>
      </c>
      <c r="J354" s="72">
        <v>6153</v>
      </c>
      <c r="K354" s="190">
        <f t="shared" si="31"/>
        <v>23.236404833836858</v>
      </c>
      <c r="L354" s="177"/>
      <c r="M354" s="72"/>
      <c r="N354" s="72"/>
      <c r="O354" s="189"/>
      <c r="P354" s="177"/>
      <c r="Q354" s="72">
        <f t="shared" si="32"/>
        <v>26480</v>
      </c>
      <c r="R354" s="72">
        <f t="shared" si="33"/>
        <v>6153</v>
      </c>
      <c r="S354" s="188">
        <f t="shared" si="34"/>
        <v>23.236404833836858</v>
      </c>
    </row>
    <row r="355" spans="2:19" ht="12.75">
      <c r="B355" s="25">
        <f t="shared" si="35"/>
        <v>21</v>
      </c>
      <c r="C355" s="9"/>
      <c r="D355" s="9"/>
      <c r="E355" s="9"/>
      <c r="F355" s="31" t="s">
        <v>213</v>
      </c>
      <c r="G355" s="40">
        <v>630</v>
      </c>
      <c r="H355" s="9" t="s">
        <v>125</v>
      </c>
      <c r="I355" s="72">
        <f>I356+I357+I358+I359+I360+I361</f>
        <v>669035</v>
      </c>
      <c r="J355" s="72">
        <f>J356+J357+J358+J359+J360+J361</f>
        <v>310419</v>
      </c>
      <c r="K355" s="190">
        <f t="shared" si="31"/>
        <v>46.3980210302899</v>
      </c>
      <c r="L355" s="177"/>
      <c r="M355" s="72"/>
      <c r="N355" s="72"/>
      <c r="O355" s="189"/>
      <c r="P355" s="177"/>
      <c r="Q355" s="72">
        <f t="shared" si="32"/>
        <v>669035</v>
      </c>
      <c r="R355" s="72">
        <f t="shared" si="33"/>
        <v>310419</v>
      </c>
      <c r="S355" s="188">
        <f t="shared" si="34"/>
        <v>46.3980210302899</v>
      </c>
    </row>
    <row r="356" spans="2:19" ht="12.75">
      <c r="B356" s="25">
        <f t="shared" si="35"/>
        <v>22</v>
      </c>
      <c r="C356" s="4"/>
      <c r="D356" s="4"/>
      <c r="E356" s="4"/>
      <c r="F356" s="32" t="s">
        <v>213</v>
      </c>
      <c r="G356" s="41">
        <v>632</v>
      </c>
      <c r="H356" s="4" t="s">
        <v>138</v>
      </c>
      <c r="I356" s="71">
        <v>600000</v>
      </c>
      <c r="J356" s="71">
        <v>286908</v>
      </c>
      <c r="K356" s="190">
        <f t="shared" si="31"/>
        <v>47.818</v>
      </c>
      <c r="L356" s="178"/>
      <c r="M356" s="71"/>
      <c r="N356" s="71"/>
      <c r="O356" s="189"/>
      <c r="P356" s="178"/>
      <c r="Q356" s="71">
        <f t="shared" si="32"/>
        <v>600000</v>
      </c>
      <c r="R356" s="71">
        <f t="shared" si="33"/>
        <v>286908</v>
      </c>
      <c r="S356" s="188">
        <f t="shared" si="34"/>
        <v>47.818</v>
      </c>
    </row>
    <row r="357" spans="2:19" ht="12.75">
      <c r="B357" s="25">
        <f t="shared" si="35"/>
        <v>23</v>
      </c>
      <c r="C357" s="4"/>
      <c r="D357" s="4"/>
      <c r="E357" s="4"/>
      <c r="F357" s="32" t="s">
        <v>213</v>
      </c>
      <c r="G357" s="41">
        <v>633</v>
      </c>
      <c r="H357" s="4" t="s">
        <v>129</v>
      </c>
      <c r="I357" s="71">
        <v>31750</v>
      </c>
      <c r="J357" s="71">
        <v>8536</v>
      </c>
      <c r="K357" s="190">
        <f t="shared" si="31"/>
        <v>26.88503937007874</v>
      </c>
      <c r="L357" s="178"/>
      <c r="M357" s="71"/>
      <c r="N357" s="71"/>
      <c r="O357" s="189"/>
      <c r="P357" s="178"/>
      <c r="Q357" s="71">
        <f t="shared" si="32"/>
        <v>31750</v>
      </c>
      <c r="R357" s="71">
        <f t="shared" si="33"/>
        <v>8536</v>
      </c>
      <c r="S357" s="188">
        <f t="shared" si="34"/>
        <v>26.88503937007874</v>
      </c>
    </row>
    <row r="358" spans="2:19" ht="12.75">
      <c r="B358" s="25">
        <f t="shared" si="35"/>
        <v>24</v>
      </c>
      <c r="C358" s="4"/>
      <c r="D358" s="4"/>
      <c r="E358" s="4"/>
      <c r="F358" s="32" t="s">
        <v>213</v>
      </c>
      <c r="G358" s="41">
        <v>634</v>
      </c>
      <c r="H358" s="4" t="s">
        <v>135</v>
      </c>
      <c r="I358" s="71">
        <v>6310</v>
      </c>
      <c r="J358" s="71">
        <v>1845</v>
      </c>
      <c r="K358" s="190">
        <f t="shared" si="31"/>
        <v>29.239302694136292</v>
      </c>
      <c r="L358" s="178"/>
      <c r="M358" s="71"/>
      <c r="N358" s="71"/>
      <c r="O358" s="189"/>
      <c r="P358" s="178"/>
      <c r="Q358" s="71">
        <f t="shared" si="32"/>
        <v>6310</v>
      </c>
      <c r="R358" s="71">
        <f t="shared" si="33"/>
        <v>1845</v>
      </c>
      <c r="S358" s="188">
        <f t="shared" si="34"/>
        <v>29.239302694136292</v>
      </c>
    </row>
    <row r="359" spans="2:19" ht="12.75">
      <c r="B359" s="25">
        <f t="shared" si="35"/>
        <v>25</v>
      </c>
      <c r="C359" s="4"/>
      <c r="D359" s="4"/>
      <c r="E359" s="4"/>
      <c r="F359" s="32" t="s">
        <v>213</v>
      </c>
      <c r="G359" s="41">
        <v>635</v>
      </c>
      <c r="H359" s="4" t="s">
        <v>136</v>
      </c>
      <c r="I359" s="71">
        <v>12000</v>
      </c>
      <c r="J359" s="71">
        <v>6504</v>
      </c>
      <c r="K359" s="190">
        <f t="shared" si="31"/>
        <v>54.2</v>
      </c>
      <c r="L359" s="178"/>
      <c r="M359" s="71"/>
      <c r="N359" s="71"/>
      <c r="O359" s="189"/>
      <c r="P359" s="178"/>
      <c r="Q359" s="71">
        <f t="shared" si="32"/>
        <v>12000</v>
      </c>
      <c r="R359" s="71">
        <f t="shared" si="33"/>
        <v>6504</v>
      </c>
      <c r="S359" s="188">
        <f t="shared" si="34"/>
        <v>54.2</v>
      </c>
    </row>
    <row r="360" spans="2:19" ht="12.75">
      <c r="B360" s="25">
        <f t="shared" si="35"/>
        <v>26</v>
      </c>
      <c r="C360" s="4"/>
      <c r="D360" s="4"/>
      <c r="E360" s="4"/>
      <c r="F360" s="32" t="s">
        <v>213</v>
      </c>
      <c r="G360" s="41">
        <v>637</v>
      </c>
      <c r="H360" s="4" t="s">
        <v>126</v>
      </c>
      <c r="I360" s="71">
        <v>18700</v>
      </c>
      <c r="J360" s="71">
        <v>6626</v>
      </c>
      <c r="K360" s="190">
        <f t="shared" si="31"/>
        <v>35.4331550802139</v>
      </c>
      <c r="L360" s="178"/>
      <c r="M360" s="71"/>
      <c r="N360" s="71"/>
      <c r="O360" s="189"/>
      <c r="P360" s="178"/>
      <c r="Q360" s="71">
        <f t="shared" si="32"/>
        <v>18700</v>
      </c>
      <c r="R360" s="71">
        <f t="shared" si="33"/>
        <v>6626</v>
      </c>
      <c r="S360" s="188">
        <f t="shared" si="34"/>
        <v>35.4331550802139</v>
      </c>
    </row>
    <row r="361" spans="2:19" ht="12.75">
      <c r="B361" s="25">
        <f t="shared" si="35"/>
        <v>27</v>
      </c>
      <c r="C361" s="4"/>
      <c r="D361" s="4"/>
      <c r="E361" s="4"/>
      <c r="F361" s="32" t="s">
        <v>213</v>
      </c>
      <c r="G361" s="41">
        <v>637</v>
      </c>
      <c r="H361" s="4" t="s">
        <v>295</v>
      </c>
      <c r="I361" s="71">
        <v>275</v>
      </c>
      <c r="J361" s="71">
        <v>0</v>
      </c>
      <c r="K361" s="190">
        <f t="shared" si="31"/>
        <v>0</v>
      </c>
      <c r="L361" s="178"/>
      <c r="M361" s="71"/>
      <c r="N361" s="71"/>
      <c r="O361" s="189"/>
      <c r="P361" s="178"/>
      <c r="Q361" s="71">
        <f t="shared" si="32"/>
        <v>275</v>
      </c>
      <c r="R361" s="71">
        <f t="shared" si="33"/>
        <v>0</v>
      </c>
      <c r="S361" s="188">
        <f t="shared" si="34"/>
        <v>0</v>
      </c>
    </row>
    <row r="362" spans="2:19" ht="12.75">
      <c r="B362" s="25">
        <f t="shared" si="35"/>
        <v>28</v>
      </c>
      <c r="C362" s="9"/>
      <c r="D362" s="9"/>
      <c r="E362" s="9"/>
      <c r="F362" s="31" t="s">
        <v>213</v>
      </c>
      <c r="G362" s="40">
        <v>640</v>
      </c>
      <c r="H362" s="9" t="s">
        <v>132</v>
      </c>
      <c r="I362" s="72">
        <v>2500</v>
      </c>
      <c r="J362" s="72">
        <v>379</v>
      </c>
      <c r="K362" s="190">
        <f t="shared" si="31"/>
        <v>15.160000000000002</v>
      </c>
      <c r="L362" s="177"/>
      <c r="M362" s="72"/>
      <c r="N362" s="72"/>
      <c r="O362" s="189"/>
      <c r="P362" s="177"/>
      <c r="Q362" s="72">
        <f t="shared" si="32"/>
        <v>2500</v>
      </c>
      <c r="R362" s="72">
        <f t="shared" si="33"/>
        <v>379</v>
      </c>
      <c r="S362" s="188">
        <f t="shared" si="34"/>
        <v>15.160000000000002</v>
      </c>
    </row>
    <row r="363" spans="2:19" ht="15">
      <c r="B363" s="25">
        <f t="shared" si="35"/>
        <v>29</v>
      </c>
      <c r="C363" s="7">
        <v>3</v>
      </c>
      <c r="D363" s="277" t="s">
        <v>239</v>
      </c>
      <c r="E363" s="278"/>
      <c r="F363" s="278"/>
      <c r="G363" s="278"/>
      <c r="H363" s="279"/>
      <c r="I363" s="79">
        <f>I364</f>
        <v>7000</v>
      </c>
      <c r="J363" s="79">
        <f>J364</f>
        <v>1783</v>
      </c>
      <c r="K363" s="190">
        <f t="shared" si="31"/>
        <v>25.47142857142857</v>
      </c>
      <c r="L363" s="175"/>
      <c r="M363" s="79">
        <f>M366</f>
        <v>20000</v>
      </c>
      <c r="N363" s="79">
        <f>N366</f>
        <v>0</v>
      </c>
      <c r="O363" s="189">
        <f>N363/M363*100</f>
        <v>0</v>
      </c>
      <c r="P363" s="175"/>
      <c r="Q363" s="79">
        <f t="shared" si="32"/>
        <v>27000</v>
      </c>
      <c r="R363" s="79">
        <f t="shared" si="33"/>
        <v>1783</v>
      </c>
      <c r="S363" s="188">
        <f t="shared" si="34"/>
        <v>6.603703703703704</v>
      </c>
    </row>
    <row r="364" spans="2:19" ht="12.75">
      <c r="B364" s="25">
        <f t="shared" si="35"/>
        <v>30</v>
      </c>
      <c r="C364" s="9"/>
      <c r="D364" s="9"/>
      <c r="E364" s="9"/>
      <c r="F364" s="31" t="s">
        <v>200</v>
      </c>
      <c r="G364" s="40">
        <v>630</v>
      </c>
      <c r="H364" s="9" t="s">
        <v>125</v>
      </c>
      <c r="I364" s="72">
        <f>I365</f>
        <v>7000</v>
      </c>
      <c r="J364" s="72">
        <f>J365</f>
        <v>1783</v>
      </c>
      <c r="K364" s="190">
        <f t="shared" si="31"/>
        <v>25.47142857142857</v>
      </c>
      <c r="L364" s="177"/>
      <c r="M364" s="72"/>
      <c r="N364" s="72"/>
      <c r="O364" s="189"/>
      <c r="P364" s="177"/>
      <c r="Q364" s="72">
        <f t="shared" si="32"/>
        <v>7000</v>
      </c>
      <c r="R364" s="72">
        <f t="shared" si="33"/>
        <v>1783</v>
      </c>
      <c r="S364" s="188">
        <f t="shared" si="34"/>
        <v>25.47142857142857</v>
      </c>
    </row>
    <row r="365" spans="2:19" ht="12.75">
      <c r="B365" s="25">
        <f t="shared" si="35"/>
        <v>31</v>
      </c>
      <c r="C365" s="4"/>
      <c r="D365" s="4"/>
      <c r="E365" s="4"/>
      <c r="F365" s="32" t="s">
        <v>200</v>
      </c>
      <c r="G365" s="41">
        <v>635</v>
      </c>
      <c r="H365" s="4" t="s">
        <v>136</v>
      </c>
      <c r="I365" s="71">
        <v>7000</v>
      </c>
      <c r="J365" s="71">
        <v>1783</v>
      </c>
      <c r="K365" s="190">
        <f t="shared" si="31"/>
        <v>25.47142857142857</v>
      </c>
      <c r="L365" s="178"/>
      <c r="M365" s="71"/>
      <c r="N365" s="71"/>
      <c r="O365" s="189"/>
      <c r="P365" s="178"/>
      <c r="Q365" s="71">
        <f t="shared" si="32"/>
        <v>7000</v>
      </c>
      <c r="R365" s="71">
        <f t="shared" si="33"/>
        <v>1783</v>
      </c>
      <c r="S365" s="188">
        <f t="shared" si="34"/>
        <v>25.47142857142857</v>
      </c>
    </row>
    <row r="366" spans="2:19" ht="12.75">
      <c r="B366" s="25">
        <f t="shared" si="35"/>
        <v>32</v>
      </c>
      <c r="C366" s="9"/>
      <c r="D366" s="9"/>
      <c r="E366" s="9"/>
      <c r="F366" s="31" t="s">
        <v>200</v>
      </c>
      <c r="G366" s="40">
        <v>710</v>
      </c>
      <c r="H366" s="9" t="s">
        <v>180</v>
      </c>
      <c r="I366" s="72"/>
      <c r="J366" s="72"/>
      <c r="K366" s="190"/>
      <c r="L366" s="177"/>
      <c r="M366" s="72">
        <f>M367</f>
        <v>20000</v>
      </c>
      <c r="N366" s="72">
        <f>N367</f>
        <v>0</v>
      </c>
      <c r="O366" s="189">
        <f>N366/M366*100</f>
        <v>0</v>
      </c>
      <c r="P366" s="177"/>
      <c r="Q366" s="72">
        <f t="shared" si="32"/>
        <v>20000</v>
      </c>
      <c r="R366" s="72">
        <f t="shared" si="33"/>
        <v>0</v>
      </c>
      <c r="S366" s="188">
        <f t="shared" si="34"/>
        <v>0</v>
      </c>
    </row>
    <row r="367" spans="2:19" ht="12.75">
      <c r="B367" s="25">
        <f t="shared" si="35"/>
        <v>33</v>
      </c>
      <c r="C367" s="4"/>
      <c r="D367" s="4"/>
      <c r="E367" s="4"/>
      <c r="F367" s="32" t="s">
        <v>200</v>
      </c>
      <c r="G367" s="41">
        <v>713</v>
      </c>
      <c r="H367" s="4" t="s">
        <v>228</v>
      </c>
      <c r="I367" s="71"/>
      <c r="J367" s="71"/>
      <c r="K367" s="190"/>
      <c r="L367" s="178"/>
      <c r="M367" s="71">
        <f>M368</f>
        <v>20000</v>
      </c>
      <c r="N367" s="71">
        <f>N368</f>
        <v>0</v>
      </c>
      <c r="O367" s="189">
        <f>N367/M367*100</f>
        <v>0</v>
      </c>
      <c r="P367" s="178"/>
      <c r="Q367" s="71">
        <f t="shared" si="32"/>
        <v>20000</v>
      </c>
      <c r="R367" s="71">
        <f t="shared" si="33"/>
        <v>0</v>
      </c>
      <c r="S367" s="188">
        <f t="shared" si="34"/>
        <v>0</v>
      </c>
    </row>
    <row r="368" spans="2:19" ht="12.75">
      <c r="B368" s="25">
        <f t="shared" si="35"/>
        <v>34</v>
      </c>
      <c r="C368" s="5"/>
      <c r="D368" s="5"/>
      <c r="E368" s="5"/>
      <c r="F368" s="33"/>
      <c r="G368" s="42"/>
      <c r="H368" s="5" t="s">
        <v>347</v>
      </c>
      <c r="I368" s="75"/>
      <c r="J368" s="75"/>
      <c r="K368" s="190"/>
      <c r="L368" s="99"/>
      <c r="M368" s="75">
        <v>20000</v>
      </c>
      <c r="N368" s="75">
        <v>0</v>
      </c>
      <c r="O368" s="189">
        <f>N368/M368*100</f>
        <v>0</v>
      </c>
      <c r="P368" s="99"/>
      <c r="Q368" s="75">
        <f t="shared" si="32"/>
        <v>20000</v>
      </c>
      <c r="R368" s="75">
        <f t="shared" si="33"/>
        <v>0</v>
      </c>
      <c r="S368" s="188">
        <f t="shared" si="34"/>
        <v>0</v>
      </c>
    </row>
    <row r="369" spans="2:19" ht="15">
      <c r="B369" s="25">
        <f t="shared" si="35"/>
        <v>35</v>
      </c>
      <c r="C369" s="7">
        <v>4</v>
      </c>
      <c r="D369" s="277" t="s">
        <v>161</v>
      </c>
      <c r="E369" s="278"/>
      <c r="F369" s="278"/>
      <c r="G369" s="278"/>
      <c r="H369" s="279"/>
      <c r="I369" s="79">
        <f>I370</f>
        <v>20800</v>
      </c>
      <c r="J369" s="79">
        <f>J370</f>
        <v>6350</v>
      </c>
      <c r="K369" s="190">
        <f t="shared" si="31"/>
        <v>30.528846153846157</v>
      </c>
      <c r="L369" s="175"/>
      <c r="M369" s="79">
        <v>0</v>
      </c>
      <c r="N369" s="79">
        <v>0</v>
      </c>
      <c r="O369" s="189"/>
      <c r="P369" s="175"/>
      <c r="Q369" s="79">
        <f t="shared" si="32"/>
        <v>20800</v>
      </c>
      <c r="R369" s="79">
        <f t="shared" si="33"/>
        <v>6350</v>
      </c>
      <c r="S369" s="188">
        <f t="shared" si="34"/>
        <v>30.528846153846157</v>
      </c>
    </row>
    <row r="370" spans="2:19" ht="12.75">
      <c r="B370" s="25">
        <f t="shared" si="35"/>
        <v>36</v>
      </c>
      <c r="C370" s="9"/>
      <c r="D370" s="9"/>
      <c r="E370" s="9"/>
      <c r="F370" s="31" t="s">
        <v>160</v>
      </c>
      <c r="G370" s="40">
        <v>630</v>
      </c>
      <c r="H370" s="9" t="s">
        <v>125</v>
      </c>
      <c r="I370" s="72">
        <f>I371</f>
        <v>20800</v>
      </c>
      <c r="J370" s="72">
        <f>J371</f>
        <v>6350</v>
      </c>
      <c r="K370" s="190">
        <f t="shared" si="31"/>
        <v>30.528846153846157</v>
      </c>
      <c r="L370" s="177"/>
      <c r="M370" s="72"/>
      <c r="N370" s="72"/>
      <c r="O370" s="189"/>
      <c r="P370" s="177"/>
      <c r="Q370" s="72">
        <f t="shared" si="32"/>
        <v>20800</v>
      </c>
      <c r="R370" s="72">
        <f t="shared" si="33"/>
        <v>6350</v>
      </c>
      <c r="S370" s="188">
        <f t="shared" si="34"/>
        <v>30.528846153846157</v>
      </c>
    </row>
    <row r="371" spans="2:19" ht="12.75">
      <c r="B371" s="25">
        <f t="shared" si="35"/>
        <v>37</v>
      </c>
      <c r="C371" s="4"/>
      <c r="D371" s="4"/>
      <c r="E371" s="4"/>
      <c r="F371" s="32" t="s">
        <v>160</v>
      </c>
      <c r="G371" s="41">
        <v>637</v>
      </c>
      <c r="H371" s="4" t="s">
        <v>126</v>
      </c>
      <c r="I371" s="71">
        <v>20800</v>
      </c>
      <c r="J371" s="71">
        <v>6350</v>
      </c>
      <c r="K371" s="190">
        <f t="shared" si="31"/>
        <v>30.528846153846157</v>
      </c>
      <c r="L371" s="178"/>
      <c r="M371" s="71"/>
      <c r="N371" s="71"/>
      <c r="O371" s="189"/>
      <c r="P371" s="178"/>
      <c r="Q371" s="71">
        <f t="shared" si="32"/>
        <v>20800</v>
      </c>
      <c r="R371" s="71">
        <f t="shared" si="33"/>
        <v>6350</v>
      </c>
      <c r="S371" s="188">
        <f t="shared" si="34"/>
        <v>30.528846153846157</v>
      </c>
    </row>
    <row r="372" spans="2:19" ht="15">
      <c r="B372" s="25">
        <f t="shared" si="35"/>
        <v>38</v>
      </c>
      <c r="C372" s="7">
        <v>5</v>
      </c>
      <c r="D372" s="277" t="s">
        <v>151</v>
      </c>
      <c r="E372" s="278"/>
      <c r="F372" s="278"/>
      <c r="G372" s="278"/>
      <c r="H372" s="279"/>
      <c r="I372" s="79">
        <f>I373+I378</f>
        <v>37570</v>
      </c>
      <c r="J372" s="79">
        <f>J373+J378</f>
        <v>11195</v>
      </c>
      <c r="K372" s="190">
        <f t="shared" si="31"/>
        <v>29.797710939579453</v>
      </c>
      <c r="L372" s="175"/>
      <c r="M372" s="79">
        <v>0</v>
      </c>
      <c r="N372" s="79">
        <v>0</v>
      </c>
      <c r="O372" s="189"/>
      <c r="P372" s="175"/>
      <c r="Q372" s="79">
        <f t="shared" si="32"/>
        <v>37570</v>
      </c>
      <c r="R372" s="79">
        <f t="shared" si="33"/>
        <v>11195</v>
      </c>
      <c r="S372" s="188">
        <f t="shared" si="34"/>
        <v>29.797710939579453</v>
      </c>
    </row>
    <row r="373" spans="2:19" ht="12.75">
      <c r="B373" s="25">
        <f t="shared" si="35"/>
        <v>39</v>
      </c>
      <c r="C373" s="9"/>
      <c r="D373" s="9"/>
      <c r="E373" s="9"/>
      <c r="F373" s="31" t="s">
        <v>150</v>
      </c>
      <c r="G373" s="40">
        <v>630</v>
      </c>
      <c r="H373" s="9" t="s">
        <v>125</v>
      </c>
      <c r="I373" s="72">
        <f>I376+I377+I374+I375</f>
        <v>28570</v>
      </c>
      <c r="J373" s="72">
        <f>J376+J377+J374+J375</f>
        <v>6195</v>
      </c>
      <c r="K373" s="190">
        <f t="shared" si="31"/>
        <v>21.68358417920896</v>
      </c>
      <c r="L373" s="177"/>
      <c r="M373" s="72"/>
      <c r="N373" s="72"/>
      <c r="O373" s="189"/>
      <c r="P373" s="177"/>
      <c r="Q373" s="72">
        <f t="shared" si="32"/>
        <v>28570</v>
      </c>
      <c r="R373" s="72">
        <f t="shared" si="33"/>
        <v>6195</v>
      </c>
      <c r="S373" s="188">
        <f t="shared" si="34"/>
        <v>21.68358417920896</v>
      </c>
    </row>
    <row r="374" spans="2:19" ht="12.75">
      <c r="B374" s="25">
        <f t="shared" si="35"/>
        <v>40</v>
      </c>
      <c r="C374" s="9"/>
      <c r="D374" s="9"/>
      <c r="E374" s="9"/>
      <c r="F374" s="32" t="s">
        <v>150</v>
      </c>
      <c r="G374" s="41">
        <v>633</v>
      </c>
      <c r="H374" s="4" t="s">
        <v>14</v>
      </c>
      <c r="I374" s="71">
        <v>3150</v>
      </c>
      <c r="J374" s="71">
        <v>0</v>
      </c>
      <c r="K374" s="190">
        <f t="shared" si="31"/>
        <v>0</v>
      </c>
      <c r="L374" s="178"/>
      <c r="M374" s="71"/>
      <c r="N374" s="71"/>
      <c r="O374" s="189"/>
      <c r="P374" s="178"/>
      <c r="Q374" s="71">
        <f>I374+M374</f>
        <v>3150</v>
      </c>
      <c r="R374" s="71">
        <f t="shared" si="33"/>
        <v>0</v>
      </c>
      <c r="S374" s="188">
        <f t="shared" si="34"/>
        <v>0</v>
      </c>
    </row>
    <row r="375" spans="2:19" ht="12.75">
      <c r="B375" s="25">
        <f t="shared" si="35"/>
        <v>41</v>
      </c>
      <c r="C375" s="9"/>
      <c r="D375" s="9"/>
      <c r="E375" s="9"/>
      <c r="F375" s="32" t="s">
        <v>150</v>
      </c>
      <c r="G375" s="41">
        <v>633</v>
      </c>
      <c r="H375" s="4" t="s">
        <v>13</v>
      </c>
      <c r="I375" s="71">
        <v>1470</v>
      </c>
      <c r="J375" s="71">
        <v>1470</v>
      </c>
      <c r="K375" s="190">
        <f t="shared" si="31"/>
        <v>100</v>
      </c>
      <c r="L375" s="178"/>
      <c r="M375" s="71"/>
      <c r="N375" s="71"/>
      <c r="O375" s="189"/>
      <c r="P375" s="178"/>
      <c r="Q375" s="71">
        <f>I375+M375</f>
        <v>1470</v>
      </c>
      <c r="R375" s="71">
        <f t="shared" si="33"/>
        <v>1470</v>
      </c>
      <c r="S375" s="188">
        <f t="shared" si="34"/>
        <v>100</v>
      </c>
    </row>
    <row r="376" spans="2:19" ht="12.75">
      <c r="B376" s="25">
        <f t="shared" si="35"/>
        <v>42</v>
      </c>
      <c r="C376" s="4"/>
      <c r="D376" s="4"/>
      <c r="E376" s="4"/>
      <c r="F376" s="32" t="s">
        <v>150</v>
      </c>
      <c r="G376" s="41">
        <v>634</v>
      </c>
      <c r="H376" s="4" t="s">
        <v>135</v>
      </c>
      <c r="I376" s="71">
        <v>2200</v>
      </c>
      <c r="J376" s="71">
        <v>1048</v>
      </c>
      <c r="K376" s="190">
        <f t="shared" si="31"/>
        <v>47.63636363636364</v>
      </c>
      <c r="L376" s="178"/>
      <c r="M376" s="71"/>
      <c r="N376" s="71"/>
      <c r="O376" s="189"/>
      <c r="P376" s="178"/>
      <c r="Q376" s="71">
        <f t="shared" si="32"/>
        <v>2200</v>
      </c>
      <c r="R376" s="71">
        <f t="shared" si="33"/>
        <v>1048</v>
      </c>
      <c r="S376" s="188">
        <f t="shared" si="34"/>
        <v>47.63636363636364</v>
      </c>
    </row>
    <row r="377" spans="2:19" ht="12.75">
      <c r="B377" s="25">
        <f t="shared" si="35"/>
        <v>43</v>
      </c>
      <c r="C377" s="4"/>
      <c r="D377" s="4"/>
      <c r="E377" s="4"/>
      <c r="F377" s="32" t="s">
        <v>150</v>
      </c>
      <c r="G377" s="41">
        <v>637</v>
      </c>
      <c r="H377" s="4" t="s">
        <v>126</v>
      </c>
      <c r="I377" s="71">
        <v>21750</v>
      </c>
      <c r="J377" s="71">
        <v>3677</v>
      </c>
      <c r="K377" s="190">
        <f t="shared" si="31"/>
        <v>16.905747126436783</v>
      </c>
      <c r="L377" s="178"/>
      <c r="M377" s="71"/>
      <c r="N377" s="71"/>
      <c r="O377" s="189"/>
      <c r="P377" s="178"/>
      <c r="Q377" s="71">
        <f t="shared" si="32"/>
        <v>21750</v>
      </c>
      <c r="R377" s="71">
        <f t="shared" si="33"/>
        <v>3677</v>
      </c>
      <c r="S377" s="188">
        <f t="shared" si="34"/>
        <v>16.905747126436783</v>
      </c>
    </row>
    <row r="378" spans="2:19" ht="12.75">
      <c r="B378" s="25">
        <f t="shared" si="35"/>
        <v>44</v>
      </c>
      <c r="C378" s="9"/>
      <c r="D378" s="9"/>
      <c r="E378" s="9"/>
      <c r="F378" s="31" t="s">
        <v>150</v>
      </c>
      <c r="G378" s="40">
        <v>640</v>
      </c>
      <c r="H378" s="9" t="s">
        <v>132</v>
      </c>
      <c r="I378" s="72">
        <f>I379</f>
        <v>9000</v>
      </c>
      <c r="J378" s="72">
        <f>J379</f>
        <v>5000</v>
      </c>
      <c r="K378" s="190">
        <f t="shared" si="31"/>
        <v>55.55555555555556</v>
      </c>
      <c r="L378" s="177"/>
      <c r="M378" s="72"/>
      <c r="N378" s="72"/>
      <c r="O378" s="189"/>
      <c r="P378" s="177"/>
      <c r="Q378" s="72">
        <f t="shared" si="32"/>
        <v>9000</v>
      </c>
      <c r="R378" s="72">
        <f t="shared" si="33"/>
        <v>5000</v>
      </c>
      <c r="S378" s="188">
        <f t="shared" si="34"/>
        <v>55.55555555555556</v>
      </c>
    </row>
    <row r="379" spans="2:19" ht="12.75">
      <c r="B379" s="25">
        <f t="shared" si="35"/>
        <v>45</v>
      </c>
      <c r="C379" s="4"/>
      <c r="D379" s="4"/>
      <c r="E379" s="4"/>
      <c r="F379" s="32" t="s">
        <v>150</v>
      </c>
      <c r="G379" s="41">
        <v>642</v>
      </c>
      <c r="H379" s="4" t="s">
        <v>133</v>
      </c>
      <c r="I379" s="71">
        <f>I380+I381</f>
        <v>9000</v>
      </c>
      <c r="J379" s="71">
        <f>J380+J381</f>
        <v>5000</v>
      </c>
      <c r="K379" s="190">
        <f t="shared" si="31"/>
        <v>55.55555555555556</v>
      </c>
      <c r="L379" s="178"/>
      <c r="M379" s="71"/>
      <c r="N379" s="71"/>
      <c r="O379" s="189"/>
      <c r="P379" s="178"/>
      <c r="Q379" s="71">
        <f t="shared" si="32"/>
        <v>9000</v>
      </c>
      <c r="R379" s="71">
        <f t="shared" si="33"/>
        <v>5000</v>
      </c>
      <c r="S379" s="188">
        <f t="shared" si="34"/>
        <v>55.55555555555556</v>
      </c>
    </row>
    <row r="380" spans="2:19" ht="12.75">
      <c r="B380" s="25">
        <f t="shared" si="35"/>
        <v>46</v>
      </c>
      <c r="C380" s="5"/>
      <c r="D380" s="5"/>
      <c r="E380" s="5"/>
      <c r="F380" s="33"/>
      <c r="G380" s="42"/>
      <c r="H380" s="5" t="s">
        <v>13</v>
      </c>
      <c r="I380" s="75">
        <v>4000</v>
      </c>
      <c r="J380" s="75">
        <v>2000</v>
      </c>
      <c r="K380" s="190">
        <f t="shared" si="31"/>
        <v>50</v>
      </c>
      <c r="L380" s="99"/>
      <c r="M380" s="75"/>
      <c r="N380" s="75"/>
      <c r="O380" s="189"/>
      <c r="P380" s="99"/>
      <c r="Q380" s="75">
        <f t="shared" si="32"/>
        <v>4000</v>
      </c>
      <c r="R380" s="75">
        <f t="shared" si="33"/>
        <v>2000</v>
      </c>
      <c r="S380" s="188">
        <f t="shared" si="34"/>
        <v>50</v>
      </c>
    </row>
    <row r="381" spans="2:19" ht="12.75">
      <c r="B381" s="25">
        <f t="shared" si="35"/>
        <v>47</v>
      </c>
      <c r="C381" s="5"/>
      <c r="D381" s="5"/>
      <c r="E381" s="5"/>
      <c r="F381" s="33"/>
      <c r="G381" s="42"/>
      <c r="H381" s="5" t="s">
        <v>14</v>
      </c>
      <c r="I381" s="75">
        <v>5000</v>
      </c>
      <c r="J381" s="75">
        <v>3000</v>
      </c>
      <c r="K381" s="190">
        <f t="shared" si="31"/>
        <v>60</v>
      </c>
      <c r="L381" s="99"/>
      <c r="M381" s="75"/>
      <c r="N381" s="75"/>
      <c r="O381" s="189"/>
      <c r="P381" s="99"/>
      <c r="Q381" s="75">
        <f t="shared" si="32"/>
        <v>5000</v>
      </c>
      <c r="R381" s="75">
        <f t="shared" si="33"/>
        <v>3000</v>
      </c>
      <c r="S381" s="188">
        <f t="shared" si="34"/>
        <v>60</v>
      </c>
    </row>
    <row r="440" spans="2:17" ht="27.75" thickBot="1">
      <c r="B440" s="287" t="s">
        <v>24</v>
      </c>
      <c r="C440" s="288"/>
      <c r="D440" s="288"/>
      <c r="E440" s="288"/>
      <c r="F440" s="288"/>
      <c r="G440" s="288"/>
      <c r="H440" s="288"/>
      <c r="I440" s="288"/>
      <c r="J440" s="288"/>
      <c r="K440" s="288"/>
      <c r="L440" s="288"/>
      <c r="M440" s="288"/>
      <c r="N440" s="288"/>
      <c r="O440" s="288"/>
      <c r="P440" s="288"/>
      <c r="Q440" s="288"/>
    </row>
    <row r="441" spans="2:19" ht="12.75" customHeight="1" thickBot="1">
      <c r="B441" s="269" t="s">
        <v>309</v>
      </c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170"/>
      <c r="Q441" s="274" t="s">
        <v>515</v>
      </c>
      <c r="R441" s="265" t="s">
        <v>569</v>
      </c>
      <c r="S441" s="266" t="s">
        <v>564</v>
      </c>
    </row>
    <row r="442" spans="2:19" ht="12.75" customHeight="1" thickBot="1">
      <c r="B442" s="275"/>
      <c r="C442" s="273" t="s">
        <v>118</v>
      </c>
      <c r="D442" s="273" t="s">
        <v>119</v>
      </c>
      <c r="E442" s="276"/>
      <c r="F442" s="273" t="s">
        <v>120</v>
      </c>
      <c r="G442" s="270" t="s">
        <v>121</v>
      </c>
      <c r="H442" s="271" t="s">
        <v>122</v>
      </c>
      <c r="I442" s="267" t="s">
        <v>565</v>
      </c>
      <c r="J442" s="267" t="s">
        <v>566</v>
      </c>
      <c r="K442" s="268" t="s">
        <v>564</v>
      </c>
      <c r="L442" s="168"/>
      <c r="M442" s="272" t="s">
        <v>567</v>
      </c>
      <c r="N442" s="267" t="s">
        <v>568</v>
      </c>
      <c r="O442" s="268" t="s">
        <v>564</v>
      </c>
      <c r="P442" s="171"/>
      <c r="Q442" s="274"/>
      <c r="R442" s="265"/>
      <c r="S442" s="266"/>
    </row>
    <row r="443" spans="2:19" ht="13.5" thickBot="1">
      <c r="B443" s="275"/>
      <c r="C443" s="273"/>
      <c r="D443" s="273"/>
      <c r="E443" s="276"/>
      <c r="F443" s="273"/>
      <c r="G443" s="270"/>
      <c r="H443" s="271"/>
      <c r="I443" s="267"/>
      <c r="J443" s="267"/>
      <c r="K443" s="268"/>
      <c r="L443" s="168"/>
      <c r="M443" s="272"/>
      <c r="N443" s="267"/>
      <c r="O443" s="268"/>
      <c r="P443" s="171"/>
      <c r="Q443" s="274"/>
      <c r="R443" s="265"/>
      <c r="S443" s="266"/>
    </row>
    <row r="444" spans="2:19" ht="13.5" thickBot="1">
      <c r="B444" s="275"/>
      <c r="C444" s="273"/>
      <c r="D444" s="273"/>
      <c r="E444" s="276"/>
      <c r="F444" s="273"/>
      <c r="G444" s="270"/>
      <c r="H444" s="271"/>
      <c r="I444" s="267"/>
      <c r="J444" s="267"/>
      <c r="K444" s="268"/>
      <c r="L444" s="168"/>
      <c r="M444" s="272"/>
      <c r="N444" s="267"/>
      <c r="O444" s="268"/>
      <c r="P444" s="171"/>
      <c r="Q444" s="274"/>
      <c r="R444" s="265"/>
      <c r="S444" s="266"/>
    </row>
    <row r="445" spans="2:19" ht="13.5" thickBot="1">
      <c r="B445" s="275"/>
      <c r="C445" s="273"/>
      <c r="D445" s="273"/>
      <c r="E445" s="276"/>
      <c r="F445" s="273"/>
      <c r="G445" s="270"/>
      <c r="H445" s="271"/>
      <c r="I445" s="267"/>
      <c r="J445" s="267"/>
      <c r="K445" s="268"/>
      <c r="L445" s="169"/>
      <c r="M445" s="272"/>
      <c r="N445" s="267"/>
      <c r="O445" s="268"/>
      <c r="P445" s="171"/>
      <c r="Q445" s="274"/>
      <c r="R445" s="265"/>
      <c r="S445" s="266"/>
    </row>
    <row r="446" spans="2:19" ht="16.5" thickTop="1">
      <c r="B446" s="28">
        <v>1</v>
      </c>
      <c r="C446" s="281" t="s">
        <v>24</v>
      </c>
      <c r="D446" s="285"/>
      <c r="E446" s="285"/>
      <c r="F446" s="285"/>
      <c r="G446" s="285"/>
      <c r="H446" s="286"/>
      <c r="I446" s="81">
        <f>I447+I450+I487</f>
        <v>4829120</v>
      </c>
      <c r="J446" s="81">
        <f>J447+J450+J487</f>
        <v>1836796</v>
      </c>
      <c r="K446" s="189">
        <f aca="true" t="shared" si="36" ref="K446:K455">J446/I446*100</f>
        <v>38.03583261546617</v>
      </c>
      <c r="L446" s="179"/>
      <c r="M446" s="81">
        <f>M447+M450+M487</f>
        <v>5237571</v>
      </c>
      <c r="N446" s="81">
        <f>N447+N450+N487</f>
        <v>369520</v>
      </c>
      <c r="O446" s="189">
        <f>N446/M446*100</f>
        <v>7.055178822396871</v>
      </c>
      <c r="P446" s="179"/>
      <c r="Q446" s="81">
        <f aca="true" t="shared" si="37" ref="Q446:Q509">I446+M446</f>
        <v>10066691</v>
      </c>
      <c r="R446" s="81">
        <f aca="true" t="shared" si="38" ref="R446:R509">J446+N446</f>
        <v>2206316</v>
      </c>
      <c r="S446" s="188">
        <f aca="true" t="shared" si="39" ref="S446:S509">R446/Q446*100</f>
        <v>21.91699337945309</v>
      </c>
    </row>
    <row r="447" spans="2:19" ht="15">
      <c r="B447" s="28">
        <f>B446+1</f>
        <v>2</v>
      </c>
      <c r="C447" s="7">
        <v>1</v>
      </c>
      <c r="D447" s="277" t="s">
        <v>252</v>
      </c>
      <c r="E447" s="278"/>
      <c r="F447" s="278"/>
      <c r="G447" s="278"/>
      <c r="H447" s="279"/>
      <c r="I447" s="79">
        <f>I448</f>
        <v>2586527</v>
      </c>
      <c r="J447" s="79">
        <f>J448</f>
        <v>1374767</v>
      </c>
      <c r="K447" s="190">
        <f t="shared" si="36"/>
        <v>53.15107864715891</v>
      </c>
      <c r="L447" s="175"/>
      <c r="M447" s="79">
        <v>0</v>
      </c>
      <c r="N447" s="79"/>
      <c r="O447" s="189"/>
      <c r="P447" s="175"/>
      <c r="Q447" s="79">
        <f t="shared" si="37"/>
        <v>2586527</v>
      </c>
      <c r="R447" s="79">
        <f t="shared" si="38"/>
        <v>1374767</v>
      </c>
      <c r="S447" s="188">
        <f t="shared" si="39"/>
        <v>53.15107864715891</v>
      </c>
    </row>
    <row r="448" spans="2:19" ht="12.75">
      <c r="B448" s="28">
        <f aca="true" t="shared" si="40" ref="B448:B511">B447+1</f>
        <v>3</v>
      </c>
      <c r="C448" s="9"/>
      <c r="D448" s="9"/>
      <c r="E448" s="9"/>
      <c r="F448" s="31" t="s">
        <v>229</v>
      </c>
      <c r="G448" s="40">
        <v>640</v>
      </c>
      <c r="H448" s="9" t="s">
        <v>132</v>
      </c>
      <c r="I448" s="72">
        <f>I449</f>
        <v>2586527</v>
      </c>
      <c r="J448" s="72">
        <f>J449</f>
        <v>1374767</v>
      </c>
      <c r="K448" s="190">
        <f t="shared" si="36"/>
        <v>53.15107864715891</v>
      </c>
      <c r="L448" s="177"/>
      <c r="M448" s="72"/>
      <c r="N448" s="72"/>
      <c r="O448" s="189"/>
      <c r="P448" s="177"/>
      <c r="Q448" s="72">
        <f t="shared" si="37"/>
        <v>2586527</v>
      </c>
      <c r="R448" s="72">
        <f t="shared" si="38"/>
        <v>1374767</v>
      </c>
      <c r="S448" s="188">
        <f t="shared" si="39"/>
        <v>53.15107864715891</v>
      </c>
    </row>
    <row r="449" spans="2:19" ht="12.75">
      <c r="B449" s="28">
        <f t="shared" si="40"/>
        <v>4</v>
      </c>
      <c r="C449" s="4"/>
      <c r="D449" s="4"/>
      <c r="E449" s="4"/>
      <c r="F449" s="32" t="s">
        <v>229</v>
      </c>
      <c r="G449" s="41">
        <v>644</v>
      </c>
      <c r="H449" s="4" t="s">
        <v>137</v>
      </c>
      <c r="I449" s="71">
        <f>2423520+163007</f>
        <v>2586527</v>
      </c>
      <c r="J449" s="71">
        <v>1374767</v>
      </c>
      <c r="K449" s="190">
        <f t="shared" si="36"/>
        <v>53.15107864715891</v>
      </c>
      <c r="L449" s="178"/>
      <c r="M449" s="71"/>
      <c r="N449" s="71"/>
      <c r="O449" s="189"/>
      <c r="P449" s="178"/>
      <c r="Q449" s="71">
        <f t="shared" si="37"/>
        <v>2586527</v>
      </c>
      <c r="R449" s="71">
        <f t="shared" si="38"/>
        <v>1374767</v>
      </c>
      <c r="S449" s="188">
        <f t="shared" si="39"/>
        <v>53.15107864715891</v>
      </c>
    </row>
    <row r="450" spans="2:19" ht="15">
      <c r="B450" s="28">
        <f t="shared" si="40"/>
        <v>5</v>
      </c>
      <c r="C450" s="7">
        <v>2</v>
      </c>
      <c r="D450" s="277" t="s">
        <v>286</v>
      </c>
      <c r="E450" s="278"/>
      <c r="F450" s="278"/>
      <c r="G450" s="278"/>
      <c r="H450" s="279"/>
      <c r="I450" s="79">
        <f>I451+I470</f>
        <v>2242593</v>
      </c>
      <c r="J450" s="79">
        <f>J451+J470</f>
        <v>462029</v>
      </c>
      <c r="K450" s="190">
        <f t="shared" si="36"/>
        <v>20.60244547271841</v>
      </c>
      <c r="L450" s="175"/>
      <c r="M450" s="79">
        <f>M451+M470</f>
        <v>143022</v>
      </c>
      <c r="N450" s="79">
        <f>N451+N470</f>
        <v>3465</v>
      </c>
      <c r="O450" s="189">
        <f aca="true" t="shared" si="41" ref="O450:O510">N450/M450*100</f>
        <v>2.4227041993539458</v>
      </c>
      <c r="P450" s="175"/>
      <c r="Q450" s="79">
        <f t="shared" si="37"/>
        <v>2385615</v>
      </c>
      <c r="R450" s="79">
        <f t="shared" si="38"/>
        <v>465494</v>
      </c>
      <c r="S450" s="188">
        <f t="shared" si="39"/>
        <v>19.51253659957705</v>
      </c>
    </row>
    <row r="451" spans="2:19" ht="15">
      <c r="B451" s="28">
        <f t="shared" si="40"/>
        <v>6</v>
      </c>
      <c r="C451" s="2"/>
      <c r="D451" s="2">
        <v>1</v>
      </c>
      <c r="E451" s="284" t="s">
        <v>348</v>
      </c>
      <c r="F451" s="278"/>
      <c r="G451" s="278"/>
      <c r="H451" s="279"/>
      <c r="I451" s="80">
        <f>I452+I459</f>
        <v>1892993</v>
      </c>
      <c r="J451" s="80">
        <f>J452+J459</f>
        <v>347653</v>
      </c>
      <c r="K451" s="190">
        <f t="shared" si="36"/>
        <v>18.365255444684685</v>
      </c>
      <c r="L451" s="176"/>
      <c r="M451" s="80">
        <f>M456</f>
        <v>15000</v>
      </c>
      <c r="N451" s="80">
        <f>N456</f>
        <v>0</v>
      </c>
      <c r="O451" s="189">
        <f t="shared" si="41"/>
        <v>0</v>
      </c>
      <c r="P451" s="176"/>
      <c r="Q451" s="80">
        <f t="shared" si="37"/>
        <v>1907993</v>
      </c>
      <c r="R451" s="80">
        <f t="shared" si="38"/>
        <v>347653</v>
      </c>
      <c r="S451" s="188">
        <f t="shared" si="39"/>
        <v>18.220873975952742</v>
      </c>
    </row>
    <row r="452" spans="2:19" ht="12.75">
      <c r="B452" s="28">
        <f t="shared" si="40"/>
        <v>7</v>
      </c>
      <c r="C452" s="9"/>
      <c r="D452" s="9"/>
      <c r="E452" s="9"/>
      <c r="F452" s="31" t="s">
        <v>229</v>
      </c>
      <c r="G452" s="40">
        <v>630</v>
      </c>
      <c r="H452" s="9" t="s">
        <v>125</v>
      </c>
      <c r="I452" s="72">
        <f>SUM(I453:I455)</f>
        <v>1267143</v>
      </c>
      <c r="J452" s="72">
        <f>SUM(J453:J455)</f>
        <v>248989</v>
      </c>
      <c r="K452" s="190">
        <f t="shared" si="36"/>
        <v>19.649637018079254</v>
      </c>
      <c r="L452" s="177"/>
      <c r="M452" s="72"/>
      <c r="N452" s="72"/>
      <c r="O452" s="189"/>
      <c r="P452" s="177"/>
      <c r="Q452" s="72">
        <f t="shared" si="37"/>
        <v>1267143</v>
      </c>
      <c r="R452" s="72">
        <f t="shared" si="38"/>
        <v>248989</v>
      </c>
      <c r="S452" s="188">
        <f t="shared" si="39"/>
        <v>19.649637018079254</v>
      </c>
    </row>
    <row r="453" spans="2:19" ht="12.75">
      <c r="B453" s="28">
        <f t="shared" si="40"/>
        <v>8</v>
      </c>
      <c r="C453" s="4"/>
      <c r="D453" s="4"/>
      <c r="E453" s="4"/>
      <c r="F453" s="32" t="s">
        <v>229</v>
      </c>
      <c r="G453" s="41">
        <v>635</v>
      </c>
      <c r="H453" s="4" t="s">
        <v>136</v>
      </c>
      <c r="I453" s="71">
        <f>1400000-163007</f>
        <v>1236993</v>
      </c>
      <c r="J453" s="71">
        <v>247490</v>
      </c>
      <c r="K453" s="190">
        <f t="shared" si="36"/>
        <v>20.007388885789975</v>
      </c>
      <c r="L453" s="178"/>
      <c r="M453" s="71"/>
      <c r="N453" s="71"/>
      <c r="O453" s="189"/>
      <c r="P453" s="178"/>
      <c r="Q453" s="71">
        <f t="shared" si="37"/>
        <v>1236993</v>
      </c>
      <c r="R453" s="71">
        <f t="shared" si="38"/>
        <v>247490</v>
      </c>
      <c r="S453" s="188">
        <f t="shared" si="39"/>
        <v>20.007388885789975</v>
      </c>
    </row>
    <row r="454" spans="2:19" ht="12.75">
      <c r="B454" s="28">
        <f t="shared" si="40"/>
        <v>9</v>
      </c>
      <c r="C454" s="4"/>
      <c r="D454" s="4"/>
      <c r="E454" s="4"/>
      <c r="F454" s="32" t="s">
        <v>229</v>
      </c>
      <c r="G454" s="41">
        <v>636</v>
      </c>
      <c r="H454" s="4" t="s">
        <v>130</v>
      </c>
      <c r="I454" s="71">
        <v>2000</v>
      </c>
      <c r="J454" s="71">
        <v>0</v>
      </c>
      <c r="K454" s="190">
        <f t="shared" si="36"/>
        <v>0</v>
      </c>
      <c r="L454" s="178"/>
      <c r="M454" s="71"/>
      <c r="N454" s="71"/>
      <c r="O454" s="189"/>
      <c r="P454" s="178"/>
      <c r="Q454" s="71">
        <f t="shared" si="37"/>
        <v>2000</v>
      </c>
      <c r="R454" s="71">
        <f t="shared" si="38"/>
        <v>0</v>
      </c>
      <c r="S454" s="188">
        <f t="shared" si="39"/>
        <v>0</v>
      </c>
    </row>
    <row r="455" spans="2:19" ht="12.75">
      <c r="B455" s="28">
        <f t="shared" si="40"/>
        <v>10</v>
      </c>
      <c r="C455" s="4"/>
      <c r="D455" s="4"/>
      <c r="E455" s="4"/>
      <c r="F455" s="32" t="s">
        <v>229</v>
      </c>
      <c r="G455" s="41">
        <v>637</v>
      </c>
      <c r="H455" s="4" t="s">
        <v>126</v>
      </c>
      <c r="I455" s="71">
        <f>22000+20000-5850-8000</f>
        <v>28150</v>
      </c>
      <c r="J455" s="71">
        <v>1499</v>
      </c>
      <c r="K455" s="190">
        <f t="shared" si="36"/>
        <v>5.325044404973357</v>
      </c>
      <c r="L455" s="178"/>
      <c r="M455" s="71"/>
      <c r="N455" s="71"/>
      <c r="O455" s="189"/>
      <c r="P455" s="178"/>
      <c r="Q455" s="71">
        <f t="shared" si="37"/>
        <v>28150</v>
      </c>
      <c r="R455" s="71">
        <f t="shared" si="38"/>
        <v>1499</v>
      </c>
      <c r="S455" s="188">
        <f t="shared" si="39"/>
        <v>5.325044404973357</v>
      </c>
    </row>
    <row r="456" spans="2:19" ht="12.75">
      <c r="B456" s="28">
        <f t="shared" si="40"/>
        <v>11</v>
      </c>
      <c r="C456" s="4"/>
      <c r="D456" s="4"/>
      <c r="E456" s="4"/>
      <c r="F456" s="31" t="s">
        <v>229</v>
      </c>
      <c r="G456" s="40">
        <v>710</v>
      </c>
      <c r="H456" s="46" t="s">
        <v>180</v>
      </c>
      <c r="I456" s="72"/>
      <c r="J456" s="72"/>
      <c r="K456" s="190"/>
      <c r="L456" s="177"/>
      <c r="M456" s="72">
        <f>M457</f>
        <v>15000</v>
      </c>
      <c r="N456" s="72">
        <f>N457</f>
        <v>0</v>
      </c>
      <c r="O456" s="189">
        <f t="shared" si="41"/>
        <v>0</v>
      </c>
      <c r="P456" s="177"/>
      <c r="Q456" s="72">
        <f t="shared" si="37"/>
        <v>15000</v>
      </c>
      <c r="R456" s="72">
        <f t="shared" si="38"/>
        <v>0</v>
      </c>
      <c r="S456" s="188">
        <f t="shared" si="39"/>
        <v>0</v>
      </c>
    </row>
    <row r="457" spans="2:19" ht="12.75">
      <c r="B457" s="28">
        <f t="shared" si="40"/>
        <v>12</v>
      </c>
      <c r="C457" s="4"/>
      <c r="D457" s="4"/>
      <c r="E457" s="4"/>
      <c r="F457" s="32" t="s">
        <v>229</v>
      </c>
      <c r="G457" s="41">
        <v>717</v>
      </c>
      <c r="H457" s="17" t="s">
        <v>190</v>
      </c>
      <c r="I457" s="71"/>
      <c r="J457" s="71"/>
      <c r="K457" s="190"/>
      <c r="L457" s="178"/>
      <c r="M457" s="71">
        <f>M458</f>
        <v>15000</v>
      </c>
      <c r="N457" s="71">
        <f>N458</f>
        <v>0</v>
      </c>
      <c r="O457" s="189">
        <f t="shared" si="41"/>
        <v>0</v>
      </c>
      <c r="P457" s="178"/>
      <c r="Q457" s="71">
        <f t="shared" si="37"/>
        <v>15000</v>
      </c>
      <c r="R457" s="71">
        <f t="shared" si="38"/>
        <v>0</v>
      </c>
      <c r="S457" s="188">
        <f t="shared" si="39"/>
        <v>0</v>
      </c>
    </row>
    <row r="458" spans="2:19" ht="12.75">
      <c r="B458" s="28">
        <f t="shared" si="40"/>
        <v>13</v>
      </c>
      <c r="C458" s="4"/>
      <c r="D458" s="4"/>
      <c r="E458" s="4"/>
      <c r="F458" s="36"/>
      <c r="G458" s="42"/>
      <c r="H458" s="24" t="s">
        <v>350</v>
      </c>
      <c r="I458" s="75"/>
      <c r="J458" s="75"/>
      <c r="K458" s="190"/>
      <c r="L458" s="99"/>
      <c r="M458" s="75">
        <v>15000</v>
      </c>
      <c r="N458" s="75">
        <v>0</v>
      </c>
      <c r="O458" s="189">
        <f t="shared" si="41"/>
        <v>0</v>
      </c>
      <c r="P458" s="99"/>
      <c r="Q458" s="75">
        <f t="shared" si="37"/>
        <v>15000</v>
      </c>
      <c r="R458" s="75">
        <f t="shared" si="38"/>
        <v>0</v>
      </c>
      <c r="S458" s="188">
        <f t="shared" si="39"/>
        <v>0</v>
      </c>
    </row>
    <row r="459" spans="2:19" ht="15">
      <c r="B459" s="28">
        <f t="shared" si="40"/>
        <v>14</v>
      </c>
      <c r="C459" s="12"/>
      <c r="D459" s="12"/>
      <c r="E459" s="12">
        <v>2</v>
      </c>
      <c r="F459" s="35"/>
      <c r="G459" s="43"/>
      <c r="H459" s="12" t="s">
        <v>15</v>
      </c>
      <c r="I459" s="82">
        <f>I460+I461+I462+I469</f>
        <v>625850</v>
      </c>
      <c r="J459" s="82">
        <f>J460+J461+J462+J469</f>
        <v>98664</v>
      </c>
      <c r="K459" s="190">
        <f aca="true" t="shared" si="42" ref="K459:K476">J459/I459*100</f>
        <v>15.764799872173842</v>
      </c>
      <c r="L459" s="182"/>
      <c r="M459" s="82"/>
      <c r="N459" s="82"/>
      <c r="O459" s="189"/>
      <c r="P459" s="182"/>
      <c r="Q459" s="82">
        <f t="shared" si="37"/>
        <v>625850</v>
      </c>
      <c r="R459" s="82">
        <f t="shared" si="38"/>
        <v>98664</v>
      </c>
      <c r="S459" s="188">
        <f t="shared" si="39"/>
        <v>15.764799872173842</v>
      </c>
    </row>
    <row r="460" spans="2:19" ht="12.75">
      <c r="B460" s="28">
        <f t="shared" si="40"/>
        <v>15</v>
      </c>
      <c r="C460" s="9"/>
      <c r="D460" s="9"/>
      <c r="E460" s="9"/>
      <c r="F460" s="31" t="s">
        <v>229</v>
      </c>
      <c r="G460" s="40">
        <v>610</v>
      </c>
      <c r="H460" s="9" t="s">
        <v>134</v>
      </c>
      <c r="I460" s="72">
        <v>114280</v>
      </c>
      <c r="J460" s="72">
        <v>37873</v>
      </c>
      <c r="K460" s="190">
        <f t="shared" si="42"/>
        <v>33.140532026601335</v>
      </c>
      <c r="L460" s="177"/>
      <c r="M460" s="72"/>
      <c r="N460" s="72"/>
      <c r="O460" s="189"/>
      <c r="P460" s="177"/>
      <c r="Q460" s="72">
        <f t="shared" si="37"/>
        <v>114280</v>
      </c>
      <c r="R460" s="72">
        <f t="shared" si="38"/>
        <v>37873</v>
      </c>
      <c r="S460" s="188">
        <f t="shared" si="39"/>
        <v>33.140532026601335</v>
      </c>
    </row>
    <row r="461" spans="2:19" ht="12.75">
      <c r="B461" s="28">
        <f t="shared" si="40"/>
        <v>16</v>
      </c>
      <c r="C461" s="9"/>
      <c r="D461" s="9"/>
      <c r="E461" s="9"/>
      <c r="F461" s="31" t="s">
        <v>229</v>
      </c>
      <c r="G461" s="40">
        <v>620</v>
      </c>
      <c r="H461" s="9" t="s">
        <v>128</v>
      </c>
      <c r="I461" s="72">
        <v>41495</v>
      </c>
      <c r="J461" s="72">
        <v>12090</v>
      </c>
      <c r="K461" s="190">
        <f t="shared" si="42"/>
        <v>29.136040486805637</v>
      </c>
      <c r="L461" s="177"/>
      <c r="M461" s="72"/>
      <c r="N461" s="72"/>
      <c r="O461" s="189"/>
      <c r="P461" s="177"/>
      <c r="Q461" s="72">
        <f t="shared" si="37"/>
        <v>41495</v>
      </c>
      <c r="R461" s="72">
        <f t="shared" si="38"/>
        <v>12090</v>
      </c>
      <c r="S461" s="188">
        <f t="shared" si="39"/>
        <v>29.136040486805637</v>
      </c>
    </row>
    <row r="462" spans="2:19" ht="12.75">
      <c r="B462" s="28">
        <f t="shared" si="40"/>
        <v>17</v>
      </c>
      <c r="C462" s="9"/>
      <c r="D462" s="9"/>
      <c r="E462" s="9"/>
      <c r="F462" s="31" t="s">
        <v>229</v>
      </c>
      <c r="G462" s="40">
        <v>630</v>
      </c>
      <c r="H462" s="9" t="s">
        <v>125</v>
      </c>
      <c r="I462" s="72">
        <f>SUM(I463:I468)</f>
        <v>469575</v>
      </c>
      <c r="J462" s="72">
        <f>SUM(J463:J468)</f>
        <v>48701</v>
      </c>
      <c r="K462" s="190">
        <f t="shared" si="42"/>
        <v>10.371293190651121</v>
      </c>
      <c r="L462" s="177"/>
      <c r="M462" s="72"/>
      <c r="N462" s="72"/>
      <c r="O462" s="189"/>
      <c r="P462" s="177"/>
      <c r="Q462" s="72">
        <f t="shared" si="37"/>
        <v>469575</v>
      </c>
      <c r="R462" s="72">
        <f t="shared" si="38"/>
        <v>48701</v>
      </c>
      <c r="S462" s="188">
        <f t="shared" si="39"/>
        <v>10.371293190651121</v>
      </c>
    </row>
    <row r="463" spans="2:19" ht="12.75">
      <c r="B463" s="28">
        <f t="shared" si="40"/>
        <v>18</v>
      </c>
      <c r="C463" s="4"/>
      <c r="D463" s="4"/>
      <c r="E463" s="4"/>
      <c r="F463" s="32" t="s">
        <v>229</v>
      </c>
      <c r="G463" s="41">
        <v>633</v>
      </c>
      <c r="H463" s="4" t="s">
        <v>129</v>
      </c>
      <c r="I463" s="71">
        <v>23250</v>
      </c>
      <c r="J463" s="71">
        <v>8139</v>
      </c>
      <c r="K463" s="190">
        <f t="shared" si="42"/>
        <v>35.00645161290323</v>
      </c>
      <c r="L463" s="178"/>
      <c r="M463" s="71"/>
      <c r="N463" s="71"/>
      <c r="O463" s="189"/>
      <c r="P463" s="178"/>
      <c r="Q463" s="71">
        <f t="shared" si="37"/>
        <v>23250</v>
      </c>
      <c r="R463" s="71">
        <f t="shared" si="38"/>
        <v>8139</v>
      </c>
      <c r="S463" s="188">
        <f t="shared" si="39"/>
        <v>35.00645161290323</v>
      </c>
    </row>
    <row r="464" spans="2:19" ht="12.75">
      <c r="B464" s="28">
        <f t="shared" si="40"/>
        <v>19</v>
      </c>
      <c r="C464" s="4"/>
      <c r="D464" s="4"/>
      <c r="E464" s="4"/>
      <c r="F464" s="32" t="s">
        <v>229</v>
      </c>
      <c r="G464" s="41">
        <v>634</v>
      </c>
      <c r="H464" s="4" t="s">
        <v>135</v>
      </c>
      <c r="I464" s="71">
        <v>17000</v>
      </c>
      <c r="J464" s="71">
        <v>4270</v>
      </c>
      <c r="K464" s="190">
        <f t="shared" si="42"/>
        <v>25.11764705882353</v>
      </c>
      <c r="L464" s="178"/>
      <c r="M464" s="71"/>
      <c r="N464" s="71"/>
      <c r="O464" s="189"/>
      <c r="P464" s="178"/>
      <c r="Q464" s="71">
        <f t="shared" si="37"/>
        <v>17000</v>
      </c>
      <c r="R464" s="71">
        <f t="shared" si="38"/>
        <v>4270</v>
      </c>
      <c r="S464" s="188">
        <f t="shared" si="39"/>
        <v>25.11764705882353</v>
      </c>
    </row>
    <row r="465" spans="2:19" ht="12.75">
      <c r="B465" s="28">
        <f t="shared" si="40"/>
        <v>20</v>
      </c>
      <c r="C465" s="4"/>
      <c r="D465" s="4"/>
      <c r="E465" s="4"/>
      <c r="F465" s="32" t="s">
        <v>229</v>
      </c>
      <c r="G465" s="41">
        <v>635</v>
      </c>
      <c r="H465" s="4" t="s">
        <v>136</v>
      </c>
      <c r="I465" s="71">
        <v>401000</v>
      </c>
      <c r="J465" s="71">
        <v>31881</v>
      </c>
      <c r="K465" s="190">
        <f t="shared" si="42"/>
        <v>7.950374064837905</v>
      </c>
      <c r="L465" s="178"/>
      <c r="M465" s="71"/>
      <c r="N465" s="71"/>
      <c r="O465" s="189"/>
      <c r="P465" s="178"/>
      <c r="Q465" s="71">
        <f t="shared" si="37"/>
        <v>401000</v>
      </c>
      <c r="R465" s="71">
        <f t="shared" si="38"/>
        <v>31881</v>
      </c>
      <c r="S465" s="188">
        <f t="shared" si="39"/>
        <v>7.950374064837905</v>
      </c>
    </row>
    <row r="466" spans="2:19" ht="12.75">
      <c r="B466" s="28">
        <f t="shared" si="40"/>
        <v>21</v>
      </c>
      <c r="C466" s="4"/>
      <c r="D466" s="4"/>
      <c r="E466" s="4"/>
      <c r="F466" s="32" t="s">
        <v>229</v>
      </c>
      <c r="G466" s="41">
        <v>636</v>
      </c>
      <c r="H466" s="4" t="s">
        <v>130</v>
      </c>
      <c r="I466" s="71">
        <v>2000</v>
      </c>
      <c r="J466" s="71">
        <v>22</v>
      </c>
      <c r="K466" s="190">
        <f t="shared" si="42"/>
        <v>1.0999999999999999</v>
      </c>
      <c r="L466" s="178"/>
      <c r="M466" s="71"/>
      <c r="N466" s="71"/>
      <c r="O466" s="189"/>
      <c r="P466" s="178"/>
      <c r="Q466" s="71">
        <f t="shared" si="37"/>
        <v>2000</v>
      </c>
      <c r="R466" s="71">
        <f t="shared" si="38"/>
        <v>22</v>
      </c>
      <c r="S466" s="188">
        <f t="shared" si="39"/>
        <v>1.0999999999999999</v>
      </c>
    </row>
    <row r="467" spans="2:19" ht="12.75">
      <c r="B467" s="28">
        <f t="shared" si="40"/>
        <v>22</v>
      </c>
      <c r="C467" s="4"/>
      <c r="D467" s="4"/>
      <c r="E467" s="4"/>
      <c r="F467" s="32" t="s">
        <v>229</v>
      </c>
      <c r="G467" s="41">
        <v>637</v>
      </c>
      <c r="H467" s="4" t="s">
        <v>126</v>
      </c>
      <c r="I467" s="71">
        <v>25500</v>
      </c>
      <c r="J467" s="71">
        <v>4389</v>
      </c>
      <c r="K467" s="190">
        <f t="shared" si="42"/>
        <v>17.211764705882356</v>
      </c>
      <c r="L467" s="178"/>
      <c r="M467" s="71"/>
      <c r="N467" s="71"/>
      <c r="O467" s="189"/>
      <c r="P467" s="178"/>
      <c r="Q467" s="71">
        <f t="shared" si="37"/>
        <v>25500</v>
      </c>
      <c r="R467" s="71">
        <f t="shared" si="38"/>
        <v>4389</v>
      </c>
      <c r="S467" s="188">
        <f t="shared" si="39"/>
        <v>17.211764705882356</v>
      </c>
    </row>
    <row r="468" spans="2:19" ht="12.75">
      <c r="B468" s="28">
        <f t="shared" si="40"/>
        <v>23</v>
      </c>
      <c r="C468" s="4"/>
      <c r="D468" s="4"/>
      <c r="E468" s="4"/>
      <c r="F468" s="32" t="s">
        <v>229</v>
      </c>
      <c r="G468" s="41">
        <v>637</v>
      </c>
      <c r="H468" s="4" t="s">
        <v>295</v>
      </c>
      <c r="I468" s="71">
        <v>825</v>
      </c>
      <c r="J468" s="71">
        <v>0</v>
      </c>
      <c r="K468" s="190">
        <f t="shared" si="42"/>
        <v>0</v>
      </c>
      <c r="L468" s="178"/>
      <c r="M468" s="71"/>
      <c r="N468" s="71"/>
      <c r="O468" s="189"/>
      <c r="P468" s="178"/>
      <c r="Q468" s="71">
        <f t="shared" si="37"/>
        <v>825</v>
      </c>
      <c r="R468" s="71">
        <f t="shared" si="38"/>
        <v>0</v>
      </c>
      <c r="S468" s="188">
        <f t="shared" si="39"/>
        <v>0</v>
      </c>
    </row>
    <row r="469" spans="2:19" ht="12.75">
      <c r="B469" s="28">
        <f t="shared" si="40"/>
        <v>24</v>
      </c>
      <c r="C469" s="9"/>
      <c r="D469" s="9"/>
      <c r="E469" s="9"/>
      <c r="F469" s="31" t="s">
        <v>229</v>
      </c>
      <c r="G469" s="40">
        <v>640</v>
      </c>
      <c r="H469" s="9" t="s">
        <v>132</v>
      </c>
      <c r="I469" s="72">
        <v>500</v>
      </c>
      <c r="J469" s="72">
        <v>0</v>
      </c>
      <c r="K469" s="190">
        <f t="shared" si="42"/>
        <v>0</v>
      </c>
      <c r="L469" s="177"/>
      <c r="M469" s="72"/>
      <c r="N469" s="72"/>
      <c r="O469" s="189"/>
      <c r="P469" s="177"/>
      <c r="Q469" s="72">
        <f t="shared" si="37"/>
        <v>500</v>
      </c>
      <c r="R469" s="72">
        <f t="shared" si="38"/>
        <v>0</v>
      </c>
      <c r="S469" s="188">
        <f t="shared" si="39"/>
        <v>0</v>
      </c>
    </row>
    <row r="470" spans="2:19" ht="15">
      <c r="B470" s="28">
        <f t="shared" si="40"/>
        <v>25</v>
      </c>
      <c r="C470" s="2"/>
      <c r="D470" s="2">
        <v>2</v>
      </c>
      <c r="E470" s="284" t="s">
        <v>349</v>
      </c>
      <c r="F470" s="278"/>
      <c r="G470" s="278"/>
      <c r="H470" s="279"/>
      <c r="I470" s="80">
        <f>I471</f>
        <v>349600</v>
      </c>
      <c r="J470" s="80">
        <f>J471</f>
        <v>114376</v>
      </c>
      <c r="K470" s="190">
        <f t="shared" si="42"/>
        <v>32.7162471395881</v>
      </c>
      <c r="L470" s="176"/>
      <c r="M470" s="80">
        <f>M477</f>
        <v>128022</v>
      </c>
      <c r="N470" s="80">
        <f>N477</f>
        <v>3465</v>
      </c>
      <c r="O470" s="189">
        <f t="shared" si="41"/>
        <v>2.7065660589586167</v>
      </c>
      <c r="P470" s="176"/>
      <c r="Q470" s="80">
        <f t="shared" si="37"/>
        <v>477622</v>
      </c>
      <c r="R470" s="80">
        <f t="shared" si="38"/>
        <v>117841</v>
      </c>
      <c r="S470" s="188">
        <f t="shared" si="39"/>
        <v>24.672439711738573</v>
      </c>
    </row>
    <row r="471" spans="2:19" ht="12.75">
      <c r="B471" s="28">
        <f t="shared" si="40"/>
        <v>26</v>
      </c>
      <c r="C471" s="9"/>
      <c r="D471" s="9"/>
      <c r="E471" s="9"/>
      <c r="F471" s="31" t="s">
        <v>229</v>
      </c>
      <c r="G471" s="40">
        <v>630</v>
      </c>
      <c r="H471" s="9" t="s">
        <v>125</v>
      </c>
      <c r="I471" s="72">
        <f>SUM(I472:I476)</f>
        <v>349600</v>
      </c>
      <c r="J471" s="72">
        <f>SUM(J472:J476)</f>
        <v>114376</v>
      </c>
      <c r="K471" s="190">
        <f t="shared" si="42"/>
        <v>32.7162471395881</v>
      </c>
      <c r="L471" s="177"/>
      <c r="M471" s="72"/>
      <c r="N471" s="72"/>
      <c r="O471" s="189"/>
      <c r="P471" s="177"/>
      <c r="Q471" s="72">
        <f t="shared" si="37"/>
        <v>349600</v>
      </c>
      <c r="R471" s="72">
        <f t="shared" si="38"/>
        <v>114376</v>
      </c>
      <c r="S471" s="188">
        <f t="shared" si="39"/>
        <v>32.7162471395881</v>
      </c>
    </row>
    <row r="472" spans="2:19" ht="12.75">
      <c r="B472" s="28">
        <f t="shared" si="40"/>
        <v>27</v>
      </c>
      <c r="C472" s="4"/>
      <c r="D472" s="4"/>
      <c r="E472" s="4"/>
      <c r="F472" s="32" t="s">
        <v>229</v>
      </c>
      <c r="G472" s="41">
        <v>632</v>
      </c>
      <c r="H472" s="4" t="s">
        <v>138</v>
      </c>
      <c r="I472" s="71">
        <v>120000</v>
      </c>
      <c r="J472" s="71">
        <v>27829</v>
      </c>
      <c r="K472" s="190">
        <f t="shared" si="42"/>
        <v>23.190833333333334</v>
      </c>
      <c r="L472" s="178"/>
      <c r="M472" s="71"/>
      <c r="N472" s="71"/>
      <c r="O472" s="189"/>
      <c r="P472" s="178"/>
      <c r="Q472" s="71">
        <f t="shared" si="37"/>
        <v>120000</v>
      </c>
      <c r="R472" s="71">
        <f t="shared" si="38"/>
        <v>27829</v>
      </c>
      <c r="S472" s="188">
        <f t="shared" si="39"/>
        <v>23.190833333333334</v>
      </c>
    </row>
    <row r="473" spans="2:19" ht="12.75">
      <c r="B473" s="28">
        <f t="shared" si="40"/>
        <v>28</v>
      </c>
      <c r="C473" s="4"/>
      <c r="D473" s="4"/>
      <c r="E473" s="4"/>
      <c r="F473" s="32" t="s">
        <v>229</v>
      </c>
      <c r="G473" s="41">
        <v>633</v>
      </c>
      <c r="H473" s="4" t="s">
        <v>129</v>
      </c>
      <c r="I473" s="71">
        <v>8000</v>
      </c>
      <c r="J473" s="71">
        <v>0</v>
      </c>
      <c r="K473" s="190">
        <f t="shared" si="42"/>
        <v>0</v>
      </c>
      <c r="L473" s="178"/>
      <c r="M473" s="71"/>
      <c r="N473" s="71"/>
      <c r="O473" s="189"/>
      <c r="P473" s="178"/>
      <c r="Q473" s="71">
        <f t="shared" si="37"/>
        <v>8000</v>
      </c>
      <c r="R473" s="71">
        <f t="shared" si="38"/>
        <v>0</v>
      </c>
      <c r="S473" s="188">
        <f t="shared" si="39"/>
        <v>0</v>
      </c>
    </row>
    <row r="474" spans="2:19" ht="12.75">
      <c r="B474" s="28">
        <f t="shared" si="40"/>
        <v>29</v>
      </c>
      <c r="C474" s="4"/>
      <c r="D474" s="4"/>
      <c r="E474" s="4"/>
      <c r="F474" s="32" t="s">
        <v>229</v>
      </c>
      <c r="G474" s="41">
        <v>635</v>
      </c>
      <c r="H474" s="4" t="s">
        <v>136</v>
      </c>
      <c r="I474" s="71">
        <v>150000</v>
      </c>
      <c r="J474" s="71">
        <v>58649</v>
      </c>
      <c r="K474" s="190">
        <f t="shared" si="42"/>
        <v>39.099333333333334</v>
      </c>
      <c r="L474" s="178"/>
      <c r="M474" s="71"/>
      <c r="N474" s="71"/>
      <c r="O474" s="189"/>
      <c r="P474" s="178"/>
      <c r="Q474" s="71">
        <f t="shared" si="37"/>
        <v>150000</v>
      </c>
      <c r="R474" s="71">
        <f t="shared" si="38"/>
        <v>58649</v>
      </c>
      <c r="S474" s="188">
        <f t="shared" si="39"/>
        <v>39.099333333333334</v>
      </c>
    </row>
    <row r="475" spans="2:19" ht="12.75">
      <c r="B475" s="28">
        <f t="shared" si="40"/>
        <v>30</v>
      </c>
      <c r="C475" s="4"/>
      <c r="D475" s="4"/>
      <c r="E475" s="4"/>
      <c r="F475" s="32" t="s">
        <v>229</v>
      </c>
      <c r="G475" s="41">
        <v>636</v>
      </c>
      <c r="H475" s="4" t="s">
        <v>130</v>
      </c>
      <c r="I475" s="71">
        <v>32000</v>
      </c>
      <c r="J475" s="71">
        <v>16068</v>
      </c>
      <c r="K475" s="190">
        <f t="shared" si="42"/>
        <v>50.212500000000006</v>
      </c>
      <c r="L475" s="178"/>
      <c r="M475" s="71"/>
      <c r="N475" s="71"/>
      <c r="O475" s="189"/>
      <c r="P475" s="178"/>
      <c r="Q475" s="71">
        <f t="shared" si="37"/>
        <v>32000</v>
      </c>
      <c r="R475" s="71">
        <f t="shared" si="38"/>
        <v>16068</v>
      </c>
      <c r="S475" s="188">
        <f t="shared" si="39"/>
        <v>50.212500000000006</v>
      </c>
    </row>
    <row r="476" spans="2:19" ht="12.75">
      <c r="B476" s="28">
        <f t="shared" si="40"/>
        <v>31</v>
      </c>
      <c r="C476" s="4"/>
      <c r="D476" s="4"/>
      <c r="E476" s="4"/>
      <c r="F476" s="32" t="s">
        <v>229</v>
      </c>
      <c r="G476" s="41">
        <v>637</v>
      </c>
      <c r="H476" s="4" t="s">
        <v>126</v>
      </c>
      <c r="I476" s="71">
        <v>39600</v>
      </c>
      <c r="J476" s="71">
        <v>11830</v>
      </c>
      <c r="K476" s="190">
        <f t="shared" si="42"/>
        <v>29.873737373737374</v>
      </c>
      <c r="L476" s="178"/>
      <c r="M476" s="71"/>
      <c r="N476" s="71"/>
      <c r="O476" s="189"/>
      <c r="P476" s="178"/>
      <c r="Q476" s="71">
        <f t="shared" si="37"/>
        <v>39600</v>
      </c>
      <c r="R476" s="71">
        <f t="shared" si="38"/>
        <v>11830</v>
      </c>
      <c r="S476" s="188">
        <f t="shared" si="39"/>
        <v>29.873737373737374</v>
      </c>
    </row>
    <row r="477" spans="2:19" ht="12.75">
      <c r="B477" s="28">
        <f t="shared" si="40"/>
        <v>32</v>
      </c>
      <c r="C477" s="9"/>
      <c r="D477" s="9"/>
      <c r="E477" s="9"/>
      <c r="F477" s="31" t="s">
        <v>229</v>
      </c>
      <c r="G477" s="40">
        <v>710</v>
      </c>
      <c r="H477" s="9" t="s">
        <v>180</v>
      </c>
      <c r="I477" s="72"/>
      <c r="J477" s="72"/>
      <c r="K477" s="190"/>
      <c r="L477" s="177"/>
      <c r="M477" s="72">
        <f>M480+M485+M478+M482</f>
        <v>128022</v>
      </c>
      <c r="N477" s="72">
        <f>N480+N485+N478+N482</f>
        <v>3465</v>
      </c>
      <c r="O477" s="189">
        <f t="shared" si="41"/>
        <v>2.7065660589586167</v>
      </c>
      <c r="P477" s="177"/>
      <c r="Q477" s="72">
        <f t="shared" si="37"/>
        <v>128022</v>
      </c>
      <c r="R477" s="72">
        <f t="shared" si="38"/>
        <v>3465</v>
      </c>
      <c r="S477" s="188">
        <f t="shared" si="39"/>
        <v>2.7065660589586167</v>
      </c>
    </row>
    <row r="478" spans="2:19" ht="12.75">
      <c r="B478" s="28">
        <f t="shared" si="40"/>
        <v>33</v>
      </c>
      <c r="C478" s="4"/>
      <c r="D478" s="4"/>
      <c r="E478" s="4"/>
      <c r="F478" s="32" t="s">
        <v>229</v>
      </c>
      <c r="G478" s="41">
        <v>711</v>
      </c>
      <c r="H478" s="4" t="s">
        <v>218</v>
      </c>
      <c r="I478" s="71"/>
      <c r="J478" s="71"/>
      <c r="K478" s="190"/>
      <c r="L478" s="178"/>
      <c r="M478" s="71">
        <f>M479</f>
        <v>1200</v>
      </c>
      <c r="N478" s="71">
        <f>N479</f>
        <v>0</v>
      </c>
      <c r="O478" s="189">
        <f t="shared" si="41"/>
        <v>0</v>
      </c>
      <c r="P478" s="178"/>
      <c r="Q478" s="71">
        <f t="shared" si="37"/>
        <v>1200</v>
      </c>
      <c r="R478" s="71">
        <f t="shared" si="38"/>
        <v>0</v>
      </c>
      <c r="S478" s="188">
        <f t="shared" si="39"/>
        <v>0</v>
      </c>
    </row>
    <row r="479" spans="2:19" ht="12.75">
      <c r="B479" s="28">
        <f t="shared" si="40"/>
        <v>34</v>
      </c>
      <c r="C479" s="5"/>
      <c r="D479" s="5"/>
      <c r="E479" s="5"/>
      <c r="F479" s="33"/>
      <c r="G479" s="42"/>
      <c r="H479" s="5" t="s">
        <v>351</v>
      </c>
      <c r="I479" s="75"/>
      <c r="J479" s="75"/>
      <c r="K479" s="190"/>
      <c r="L479" s="99"/>
      <c r="M479" s="75">
        <v>1200</v>
      </c>
      <c r="N479" s="75">
        <v>0</v>
      </c>
      <c r="O479" s="189">
        <f t="shared" si="41"/>
        <v>0</v>
      </c>
      <c r="P479" s="99"/>
      <c r="Q479" s="75">
        <f t="shared" si="37"/>
        <v>1200</v>
      </c>
      <c r="R479" s="75">
        <f t="shared" si="38"/>
        <v>0</v>
      </c>
      <c r="S479" s="188">
        <f t="shared" si="39"/>
        <v>0</v>
      </c>
    </row>
    <row r="480" spans="2:19" ht="12.75">
      <c r="B480" s="28">
        <f t="shared" si="40"/>
        <v>35</v>
      </c>
      <c r="C480" s="4"/>
      <c r="D480" s="4"/>
      <c r="E480" s="4"/>
      <c r="F480" s="32" t="s">
        <v>229</v>
      </c>
      <c r="G480" s="41">
        <v>713</v>
      </c>
      <c r="H480" s="4" t="s">
        <v>228</v>
      </c>
      <c r="I480" s="71"/>
      <c r="J480" s="71"/>
      <c r="K480" s="190"/>
      <c r="L480" s="178"/>
      <c r="M480" s="71">
        <f>M481</f>
        <v>87720</v>
      </c>
      <c r="N480" s="71">
        <f>N481</f>
        <v>0</v>
      </c>
      <c r="O480" s="189">
        <f t="shared" si="41"/>
        <v>0</v>
      </c>
      <c r="P480" s="178"/>
      <c r="Q480" s="71">
        <f t="shared" si="37"/>
        <v>87720</v>
      </c>
      <c r="R480" s="71">
        <f t="shared" si="38"/>
        <v>0</v>
      </c>
      <c r="S480" s="188">
        <f t="shared" si="39"/>
        <v>0</v>
      </c>
    </row>
    <row r="481" spans="2:19" ht="12.75">
      <c r="B481" s="28">
        <f t="shared" si="40"/>
        <v>36</v>
      </c>
      <c r="C481" s="5"/>
      <c r="D481" s="5"/>
      <c r="E481" s="5"/>
      <c r="F481" s="33"/>
      <c r="G481" s="42"/>
      <c r="H481" s="5" t="s">
        <v>452</v>
      </c>
      <c r="I481" s="75"/>
      <c r="J481" s="75"/>
      <c r="K481" s="190"/>
      <c r="L481" s="99"/>
      <c r="M481" s="75">
        <f>88800-1080</f>
        <v>87720</v>
      </c>
      <c r="N481" s="75">
        <v>0</v>
      </c>
      <c r="O481" s="189">
        <f t="shared" si="41"/>
        <v>0</v>
      </c>
      <c r="P481" s="99"/>
      <c r="Q481" s="75">
        <f t="shared" si="37"/>
        <v>87720</v>
      </c>
      <c r="R481" s="75">
        <f t="shared" si="38"/>
        <v>0</v>
      </c>
      <c r="S481" s="188">
        <f t="shared" si="39"/>
        <v>0</v>
      </c>
    </row>
    <row r="482" spans="2:19" ht="12.75">
      <c r="B482" s="28">
        <f t="shared" si="40"/>
        <v>37</v>
      </c>
      <c r="C482" s="5"/>
      <c r="D482" s="5"/>
      <c r="E482" s="5"/>
      <c r="F482" s="32" t="s">
        <v>229</v>
      </c>
      <c r="G482" s="41">
        <v>716</v>
      </c>
      <c r="H482" s="4" t="s">
        <v>225</v>
      </c>
      <c r="I482" s="75"/>
      <c r="J482" s="75"/>
      <c r="K482" s="190"/>
      <c r="L482" s="99"/>
      <c r="M482" s="75">
        <f>M483+M484</f>
        <v>6102</v>
      </c>
      <c r="N482" s="75">
        <f>N483+N484</f>
        <v>3465</v>
      </c>
      <c r="O482" s="189">
        <f t="shared" si="41"/>
        <v>56.78466076696165</v>
      </c>
      <c r="P482" s="99"/>
      <c r="Q482" s="75">
        <f t="shared" si="37"/>
        <v>6102</v>
      </c>
      <c r="R482" s="75">
        <f t="shared" si="38"/>
        <v>3465</v>
      </c>
      <c r="S482" s="188">
        <f t="shared" si="39"/>
        <v>56.78466076696165</v>
      </c>
    </row>
    <row r="483" spans="2:19" ht="12.75">
      <c r="B483" s="28">
        <f t="shared" si="40"/>
        <v>38</v>
      </c>
      <c r="C483" s="5"/>
      <c r="D483" s="5"/>
      <c r="E483" s="5"/>
      <c r="F483" s="33"/>
      <c r="G483" s="42"/>
      <c r="H483" s="5" t="s">
        <v>447</v>
      </c>
      <c r="I483" s="75"/>
      <c r="J483" s="75"/>
      <c r="K483" s="190"/>
      <c r="L483" s="99"/>
      <c r="M483" s="75">
        <f>3022+2000</f>
        <v>5022</v>
      </c>
      <c r="N483" s="75">
        <v>3465</v>
      </c>
      <c r="O483" s="189">
        <f t="shared" si="41"/>
        <v>68.99641577060932</v>
      </c>
      <c r="P483" s="99"/>
      <c r="Q483" s="75">
        <f t="shared" si="37"/>
        <v>5022</v>
      </c>
      <c r="R483" s="75">
        <f t="shared" si="38"/>
        <v>3465</v>
      </c>
      <c r="S483" s="188">
        <f t="shared" si="39"/>
        <v>68.99641577060932</v>
      </c>
    </row>
    <row r="484" spans="2:19" ht="12.75">
      <c r="B484" s="28">
        <f t="shared" si="40"/>
        <v>39</v>
      </c>
      <c r="C484" s="5"/>
      <c r="D484" s="5"/>
      <c r="E484" s="5"/>
      <c r="F484" s="33"/>
      <c r="G484" s="42"/>
      <c r="H484" s="5" t="s">
        <v>535</v>
      </c>
      <c r="I484" s="75"/>
      <c r="J484" s="75"/>
      <c r="K484" s="190"/>
      <c r="L484" s="99"/>
      <c r="M484" s="75">
        <v>1080</v>
      </c>
      <c r="N484" s="75">
        <v>0</v>
      </c>
      <c r="O484" s="189">
        <f t="shared" si="41"/>
        <v>0</v>
      </c>
      <c r="P484" s="99"/>
      <c r="Q484" s="75">
        <f t="shared" si="37"/>
        <v>1080</v>
      </c>
      <c r="R484" s="75">
        <f t="shared" si="38"/>
        <v>0</v>
      </c>
      <c r="S484" s="188">
        <f t="shared" si="39"/>
        <v>0</v>
      </c>
    </row>
    <row r="485" spans="2:19" ht="12.75">
      <c r="B485" s="28">
        <f t="shared" si="40"/>
        <v>40</v>
      </c>
      <c r="C485" s="4"/>
      <c r="D485" s="4"/>
      <c r="E485" s="4"/>
      <c r="F485" s="32" t="s">
        <v>229</v>
      </c>
      <c r="G485" s="41">
        <v>717</v>
      </c>
      <c r="H485" s="4" t="s">
        <v>190</v>
      </c>
      <c r="I485" s="71"/>
      <c r="J485" s="71"/>
      <c r="K485" s="190"/>
      <c r="L485" s="178"/>
      <c r="M485" s="71">
        <f>M486</f>
        <v>33000</v>
      </c>
      <c r="N485" s="71">
        <f>N486</f>
        <v>0</v>
      </c>
      <c r="O485" s="189">
        <f t="shared" si="41"/>
        <v>0</v>
      </c>
      <c r="P485" s="178"/>
      <c r="Q485" s="71">
        <f t="shared" si="37"/>
        <v>33000</v>
      </c>
      <c r="R485" s="71">
        <f t="shared" si="38"/>
        <v>0</v>
      </c>
      <c r="S485" s="188">
        <f t="shared" si="39"/>
        <v>0</v>
      </c>
    </row>
    <row r="486" spans="2:19" ht="12.75">
      <c r="B486" s="28">
        <f t="shared" si="40"/>
        <v>41</v>
      </c>
      <c r="C486" s="5"/>
      <c r="D486" s="5"/>
      <c r="E486" s="5"/>
      <c r="F486" s="33"/>
      <c r="G486" s="42"/>
      <c r="H486" s="5" t="s">
        <v>442</v>
      </c>
      <c r="I486" s="75"/>
      <c r="J486" s="75"/>
      <c r="K486" s="190"/>
      <c r="L486" s="99"/>
      <c r="M486" s="75">
        <v>33000</v>
      </c>
      <c r="N486" s="75">
        <v>0</v>
      </c>
      <c r="O486" s="189">
        <f t="shared" si="41"/>
        <v>0</v>
      </c>
      <c r="P486" s="99"/>
      <c r="Q486" s="75">
        <f t="shared" si="37"/>
        <v>33000</v>
      </c>
      <c r="R486" s="75">
        <f t="shared" si="38"/>
        <v>0</v>
      </c>
      <c r="S486" s="188">
        <f t="shared" si="39"/>
        <v>0</v>
      </c>
    </row>
    <row r="487" spans="2:19" ht="15">
      <c r="B487" s="28">
        <f t="shared" si="40"/>
        <v>42</v>
      </c>
      <c r="C487" s="7">
        <v>3</v>
      </c>
      <c r="D487" s="277" t="s">
        <v>234</v>
      </c>
      <c r="E487" s="278"/>
      <c r="F487" s="278"/>
      <c r="G487" s="278"/>
      <c r="H487" s="279"/>
      <c r="I487" s="79">
        <v>0</v>
      </c>
      <c r="J487" s="79">
        <v>0</v>
      </c>
      <c r="K487" s="190"/>
      <c r="L487" s="175"/>
      <c r="M487" s="79">
        <f>M488+M533</f>
        <v>5094549</v>
      </c>
      <c r="N487" s="79">
        <f>N488+N533</f>
        <v>366055</v>
      </c>
      <c r="O487" s="189">
        <f t="shared" si="41"/>
        <v>7.18522876117199</v>
      </c>
      <c r="P487" s="175"/>
      <c r="Q487" s="79">
        <f t="shared" si="37"/>
        <v>5094549</v>
      </c>
      <c r="R487" s="79">
        <f t="shared" si="38"/>
        <v>366055</v>
      </c>
      <c r="S487" s="188">
        <f t="shared" si="39"/>
        <v>7.18522876117199</v>
      </c>
    </row>
    <row r="488" spans="2:19" ht="12.75">
      <c r="B488" s="28">
        <f t="shared" si="40"/>
        <v>43</v>
      </c>
      <c r="C488" s="9"/>
      <c r="D488" s="9"/>
      <c r="E488" s="9"/>
      <c r="F488" s="31" t="s">
        <v>229</v>
      </c>
      <c r="G488" s="40">
        <v>710</v>
      </c>
      <c r="H488" s="9" t="s">
        <v>180</v>
      </c>
      <c r="I488" s="72"/>
      <c r="J488" s="72"/>
      <c r="K488" s="190"/>
      <c r="L488" s="177"/>
      <c r="M488" s="72">
        <f>M489+M491+M506</f>
        <v>5079549</v>
      </c>
      <c r="N488" s="72">
        <f>N489+N491+N506</f>
        <v>351055</v>
      </c>
      <c r="O488" s="189">
        <f t="shared" si="41"/>
        <v>6.911145064256689</v>
      </c>
      <c r="P488" s="177"/>
      <c r="Q488" s="72">
        <f t="shared" si="37"/>
        <v>5079549</v>
      </c>
      <c r="R488" s="72">
        <f t="shared" si="38"/>
        <v>351055</v>
      </c>
      <c r="S488" s="188">
        <f t="shared" si="39"/>
        <v>6.911145064256689</v>
      </c>
    </row>
    <row r="489" spans="2:19" ht="12.75">
      <c r="B489" s="28">
        <f t="shared" si="40"/>
        <v>44</v>
      </c>
      <c r="C489" s="4"/>
      <c r="D489" s="4"/>
      <c r="E489" s="4"/>
      <c r="F489" s="47" t="s">
        <v>229</v>
      </c>
      <c r="G489" s="48">
        <v>711</v>
      </c>
      <c r="H489" s="49" t="s">
        <v>218</v>
      </c>
      <c r="I489" s="84"/>
      <c r="J489" s="84"/>
      <c r="K489" s="190"/>
      <c r="L489" s="178"/>
      <c r="M489" s="84">
        <f>M490</f>
        <v>576000</v>
      </c>
      <c r="N489" s="84">
        <f>N490</f>
        <v>347039</v>
      </c>
      <c r="O489" s="189">
        <f t="shared" si="41"/>
        <v>60.24982638888889</v>
      </c>
      <c r="P489" s="178"/>
      <c r="Q489" s="84">
        <f t="shared" si="37"/>
        <v>576000</v>
      </c>
      <c r="R489" s="84">
        <f t="shared" si="38"/>
        <v>347039</v>
      </c>
      <c r="S489" s="188">
        <f t="shared" si="39"/>
        <v>60.24982638888889</v>
      </c>
    </row>
    <row r="490" spans="2:19" ht="12.75">
      <c r="B490" s="28">
        <f t="shared" si="40"/>
        <v>45</v>
      </c>
      <c r="C490" s="5"/>
      <c r="D490" s="5"/>
      <c r="E490" s="5"/>
      <c r="F490" s="33"/>
      <c r="G490" s="42"/>
      <c r="H490" s="98" t="s">
        <v>352</v>
      </c>
      <c r="I490" s="75"/>
      <c r="J490" s="75"/>
      <c r="K490" s="190"/>
      <c r="L490" s="99"/>
      <c r="M490" s="75">
        <v>576000</v>
      </c>
      <c r="N490" s="75">
        <v>347039</v>
      </c>
      <c r="O490" s="189">
        <f t="shared" si="41"/>
        <v>60.24982638888889</v>
      </c>
      <c r="P490" s="99"/>
      <c r="Q490" s="75">
        <f t="shared" si="37"/>
        <v>576000</v>
      </c>
      <c r="R490" s="75">
        <f t="shared" si="38"/>
        <v>347039</v>
      </c>
      <c r="S490" s="188">
        <f t="shared" si="39"/>
        <v>60.24982638888889</v>
      </c>
    </row>
    <row r="491" spans="2:19" ht="12.75">
      <c r="B491" s="28">
        <f t="shared" si="40"/>
        <v>46</v>
      </c>
      <c r="C491" s="4"/>
      <c r="D491" s="4"/>
      <c r="E491" s="4"/>
      <c r="F491" s="47" t="s">
        <v>229</v>
      </c>
      <c r="G491" s="48">
        <v>716</v>
      </c>
      <c r="H491" s="49" t="s">
        <v>225</v>
      </c>
      <c r="I491" s="84"/>
      <c r="J491" s="84"/>
      <c r="K491" s="190"/>
      <c r="L491" s="178"/>
      <c r="M491" s="84">
        <f>SUM(M492:M505)</f>
        <v>166370</v>
      </c>
      <c r="N491" s="84">
        <f>SUM(N492:N505)</f>
        <v>3126</v>
      </c>
      <c r="O491" s="189">
        <f t="shared" si="41"/>
        <v>1.878944521247821</v>
      </c>
      <c r="P491" s="178"/>
      <c r="Q491" s="84">
        <f t="shared" si="37"/>
        <v>166370</v>
      </c>
      <c r="R491" s="84">
        <f t="shared" si="38"/>
        <v>3126</v>
      </c>
      <c r="S491" s="188">
        <f t="shared" si="39"/>
        <v>1.878944521247821</v>
      </c>
    </row>
    <row r="492" spans="2:19" ht="22.5">
      <c r="B492" s="28">
        <f t="shared" si="40"/>
        <v>47</v>
      </c>
      <c r="C492" s="5"/>
      <c r="D492" s="5"/>
      <c r="E492" s="5"/>
      <c r="F492" s="33"/>
      <c r="G492" s="42"/>
      <c r="H492" s="50" t="s">
        <v>536</v>
      </c>
      <c r="I492" s="75"/>
      <c r="J492" s="75"/>
      <c r="K492" s="190"/>
      <c r="L492" s="99"/>
      <c r="M492" s="75">
        <v>1100</v>
      </c>
      <c r="N492" s="75">
        <v>0</v>
      </c>
      <c r="O492" s="189">
        <f t="shared" si="41"/>
        <v>0</v>
      </c>
      <c r="P492" s="99"/>
      <c r="Q492" s="75">
        <f>I492+M492</f>
        <v>1100</v>
      </c>
      <c r="R492" s="75">
        <f t="shared" si="38"/>
        <v>0</v>
      </c>
      <c r="S492" s="188">
        <f t="shared" si="39"/>
        <v>0</v>
      </c>
    </row>
    <row r="493" spans="2:19" ht="12.75">
      <c r="B493" s="28">
        <f t="shared" si="40"/>
        <v>48</v>
      </c>
      <c r="C493" s="5"/>
      <c r="D493" s="5"/>
      <c r="E493" s="5"/>
      <c r="F493" s="33"/>
      <c r="G493" s="42"/>
      <c r="H493" s="5" t="s">
        <v>457</v>
      </c>
      <c r="I493" s="75"/>
      <c r="J493" s="75"/>
      <c r="K493" s="190"/>
      <c r="L493" s="99"/>
      <c r="M493" s="75">
        <v>20000</v>
      </c>
      <c r="N493" s="75">
        <v>0</v>
      </c>
      <c r="O493" s="189">
        <f t="shared" si="41"/>
        <v>0</v>
      </c>
      <c r="P493" s="99"/>
      <c r="Q493" s="75">
        <f t="shared" si="37"/>
        <v>20000</v>
      </c>
      <c r="R493" s="75">
        <f t="shared" si="38"/>
        <v>0</v>
      </c>
      <c r="S493" s="188">
        <f t="shared" si="39"/>
        <v>0</v>
      </c>
    </row>
    <row r="494" spans="2:19" ht="12.75">
      <c r="B494" s="28">
        <f t="shared" si="40"/>
        <v>49</v>
      </c>
      <c r="C494" s="5"/>
      <c r="D494" s="5"/>
      <c r="E494" s="5"/>
      <c r="F494" s="33"/>
      <c r="G494" s="42"/>
      <c r="H494" s="5" t="s">
        <v>353</v>
      </c>
      <c r="I494" s="75"/>
      <c r="J494" s="75"/>
      <c r="K494" s="190"/>
      <c r="L494" s="99"/>
      <c r="M494" s="75">
        <f>4000+4000</f>
        <v>8000</v>
      </c>
      <c r="N494" s="75">
        <v>327</v>
      </c>
      <c r="O494" s="189">
        <f t="shared" si="41"/>
        <v>4.0875</v>
      </c>
      <c r="P494" s="99"/>
      <c r="Q494" s="75">
        <f t="shared" si="37"/>
        <v>8000</v>
      </c>
      <c r="R494" s="75">
        <f t="shared" si="38"/>
        <v>327</v>
      </c>
      <c r="S494" s="188">
        <f t="shared" si="39"/>
        <v>4.0875</v>
      </c>
    </row>
    <row r="495" spans="2:19" ht="12.75">
      <c r="B495" s="28">
        <f t="shared" si="40"/>
        <v>50</v>
      </c>
      <c r="C495" s="5"/>
      <c r="D495" s="5"/>
      <c r="E495" s="5"/>
      <c r="F495" s="33"/>
      <c r="G495" s="42"/>
      <c r="H495" s="5" t="s">
        <v>458</v>
      </c>
      <c r="I495" s="75"/>
      <c r="J495" s="75"/>
      <c r="K495" s="190"/>
      <c r="L495" s="99"/>
      <c r="M495" s="75">
        <f>181364-178364+2300</f>
        <v>5300</v>
      </c>
      <c r="N495" s="75">
        <v>0</v>
      </c>
      <c r="O495" s="189">
        <f t="shared" si="41"/>
        <v>0</v>
      </c>
      <c r="P495" s="99"/>
      <c r="Q495" s="75">
        <f t="shared" si="37"/>
        <v>5300</v>
      </c>
      <c r="R495" s="75">
        <f t="shared" si="38"/>
        <v>0</v>
      </c>
      <c r="S495" s="188">
        <f t="shared" si="39"/>
        <v>0</v>
      </c>
    </row>
    <row r="496" spans="2:19" ht="12.75">
      <c r="B496" s="28">
        <f t="shared" si="40"/>
        <v>51</v>
      </c>
      <c r="C496" s="5"/>
      <c r="D496" s="5"/>
      <c r="E496" s="5"/>
      <c r="F496" s="33"/>
      <c r="G496" s="42"/>
      <c r="H496" s="5" t="s">
        <v>459</v>
      </c>
      <c r="I496" s="75"/>
      <c r="J496" s="75"/>
      <c r="K496" s="190"/>
      <c r="L496" s="99"/>
      <c r="M496" s="75">
        <v>20000</v>
      </c>
      <c r="N496" s="75">
        <v>0</v>
      </c>
      <c r="O496" s="189">
        <f t="shared" si="41"/>
        <v>0</v>
      </c>
      <c r="P496" s="99"/>
      <c r="Q496" s="75">
        <f t="shared" si="37"/>
        <v>20000</v>
      </c>
      <c r="R496" s="75">
        <f t="shared" si="38"/>
        <v>0</v>
      </c>
      <c r="S496" s="188">
        <f t="shared" si="39"/>
        <v>0</v>
      </c>
    </row>
    <row r="497" spans="2:19" ht="12.75">
      <c r="B497" s="28">
        <f t="shared" si="40"/>
        <v>52</v>
      </c>
      <c r="C497" s="5"/>
      <c r="D497" s="5"/>
      <c r="E497" s="5"/>
      <c r="F497" s="33"/>
      <c r="G497" s="42"/>
      <c r="H497" s="5" t="s">
        <v>460</v>
      </c>
      <c r="I497" s="75"/>
      <c r="J497" s="75"/>
      <c r="K497" s="190"/>
      <c r="L497" s="99"/>
      <c r="M497" s="75">
        <v>7000</v>
      </c>
      <c r="N497" s="75">
        <v>0</v>
      </c>
      <c r="O497" s="189">
        <f t="shared" si="41"/>
        <v>0</v>
      </c>
      <c r="P497" s="99"/>
      <c r="Q497" s="75">
        <f t="shared" si="37"/>
        <v>7000</v>
      </c>
      <c r="R497" s="75">
        <f t="shared" si="38"/>
        <v>0</v>
      </c>
      <c r="S497" s="188">
        <f t="shared" si="39"/>
        <v>0</v>
      </c>
    </row>
    <row r="498" spans="2:19" ht="12.75">
      <c r="B498" s="28">
        <f t="shared" si="40"/>
        <v>53</v>
      </c>
      <c r="C498" s="5"/>
      <c r="D498" s="5"/>
      <c r="E498" s="5"/>
      <c r="F498" s="33"/>
      <c r="G498" s="42"/>
      <c r="H498" s="5" t="s">
        <v>537</v>
      </c>
      <c r="I498" s="75"/>
      <c r="J498" s="75"/>
      <c r="K498" s="190"/>
      <c r="L498" s="99"/>
      <c r="M498" s="75">
        <v>4750</v>
      </c>
      <c r="N498" s="75">
        <v>0</v>
      </c>
      <c r="O498" s="189">
        <f t="shared" si="41"/>
        <v>0</v>
      </c>
      <c r="P498" s="99"/>
      <c r="Q498" s="75">
        <f t="shared" si="37"/>
        <v>4750</v>
      </c>
      <c r="R498" s="75">
        <f t="shared" si="38"/>
        <v>0</v>
      </c>
      <c r="S498" s="188">
        <f t="shared" si="39"/>
        <v>0</v>
      </c>
    </row>
    <row r="499" spans="2:19" ht="12.75">
      <c r="B499" s="28">
        <f t="shared" si="40"/>
        <v>54</v>
      </c>
      <c r="C499" s="5"/>
      <c r="D499" s="5"/>
      <c r="E499" s="5"/>
      <c r="F499" s="33"/>
      <c r="G499" s="42"/>
      <c r="H499" s="5" t="s">
        <v>461</v>
      </c>
      <c r="I499" s="75"/>
      <c r="J499" s="75"/>
      <c r="K499" s="190"/>
      <c r="L499" s="99"/>
      <c r="M499" s="75">
        <v>5000</v>
      </c>
      <c r="N499" s="75">
        <v>0</v>
      </c>
      <c r="O499" s="189">
        <f t="shared" si="41"/>
        <v>0</v>
      </c>
      <c r="P499" s="99"/>
      <c r="Q499" s="75">
        <f t="shared" si="37"/>
        <v>5000</v>
      </c>
      <c r="R499" s="75">
        <f t="shared" si="38"/>
        <v>0</v>
      </c>
      <c r="S499" s="188">
        <f t="shared" si="39"/>
        <v>0</v>
      </c>
    </row>
    <row r="500" spans="2:19" ht="12.75">
      <c r="B500" s="28">
        <f t="shared" si="40"/>
        <v>55</v>
      </c>
      <c r="C500" s="5"/>
      <c r="D500" s="5"/>
      <c r="E500" s="5"/>
      <c r="F500" s="33"/>
      <c r="G500" s="42"/>
      <c r="H500" s="5" t="s">
        <v>33</v>
      </c>
      <c r="I500" s="75"/>
      <c r="J500" s="75"/>
      <c r="K500" s="190"/>
      <c r="L500" s="99"/>
      <c r="M500" s="75">
        <v>720</v>
      </c>
      <c r="N500" s="75">
        <v>720</v>
      </c>
      <c r="O500" s="189">
        <f t="shared" si="41"/>
        <v>100</v>
      </c>
      <c r="P500" s="99"/>
      <c r="Q500" s="75">
        <f t="shared" si="37"/>
        <v>720</v>
      </c>
      <c r="R500" s="75">
        <f t="shared" si="38"/>
        <v>720</v>
      </c>
      <c r="S500" s="188">
        <f t="shared" si="39"/>
        <v>100</v>
      </c>
    </row>
    <row r="501" spans="2:19" ht="12.75">
      <c r="B501" s="28">
        <f t="shared" si="40"/>
        <v>56</v>
      </c>
      <c r="C501" s="5"/>
      <c r="D501" s="5"/>
      <c r="E501" s="5"/>
      <c r="F501" s="33"/>
      <c r="G501" s="42"/>
      <c r="H501" s="5" t="s">
        <v>510</v>
      </c>
      <c r="I501" s="75"/>
      <c r="J501" s="75"/>
      <c r="K501" s="190"/>
      <c r="L501" s="99"/>
      <c r="M501" s="75">
        <v>1500</v>
      </c>
      <c r="N501" s="75">
        <v>0</v>
      </c>
      <c r="O501" s="189">
        <f t="shared" si="41"/>
        <v>0</v>
      </c>
      <c r="P501" s="99"/>
      <c r="Q501" s="75">
        <f t="shared" si="37"/>
        <v>1500</v>
      </c>
      <c r="R501" s="75">
        <f t="shared" si="38"/>
        <v>0</v>
      </c>
      <c r="S501" s="188">
        <f t="shared" si="39"/>
        <v>0</v>
      </c>
    </row>
    <row r="502" spans="2:19" ht="12.75">
      <c r="B502" s="28">
        <f t="shared" si="40"/>
        <v>57</v>
      </c>
      <c r="C502" s="5"/>
      <c r="D502" s="5"/>
      <c r="E502" s="5"/>
      <c r="F502" s="33"/>
      <c r="G502" s="42"/>
      <c r="H502" s="5" t="s">
        <v>354</v>
      </c>
      <c r="I502" s="75"/>
      <c r="J502" s="75"/>
      <c r="K502" s="190"/>
      <c r="L502" s="99"/>
      <c r="M502" s="75">
        <f>7000+4000</f>
        <v>11000</v>
      </c>
      <c r="N502" s="75">
        <v>2079</v>
      </c>
      <c r="O502" s="189">
        <f t="shared" si="41"/>
        <v>18.9</v>
      </c>
      <c r="P502" s="99"/>
      <c r="Q502" s="75">
        <f t="shared" si="37"/>
        <v>11000</v>
      </c>
      <c r="R502" s="75">
        <f t="shared" si="38"/>
        <v>2079</v>
      </c>
      <c r="S502" s="188">
        <f t="shared" si="39"/>
        <v>18.9</v>
      </c>
    </row>
    <row r="503" spans="2:19" ht="12.75">
      <c r="B503" s="28">
        <f t="shared" si="40"/>
        <v>58</v>
      </c>
      <c r="C503" s="5"/>
      <c r="D503" s="5"/>
      <c r="E503" s="5"/>
      <c r="F503" s="33"/>
      <c r="G503" s="42"/>
      <c r="H503" s="5" t="s">
        <v>463</v>
      </c>
      <c r="I503" s="75"/>
      <c r="J503" s="75"/>
      <c r="K503" s="190"/>
      <c r="L503" s="99"/>
      <c r="M503" s="75">
        <v>2000</v>
      </c>
      <c r="N503" s="75">
        <v>0</v>
      </c>
      <c r="O503" s="189">
        <f t="shared" si="41"/>
        <v>0</v>
      </c>
      <c r="P503" s="99"/>
      <c r="Q503" s="75">
        <f t="shared" si="37"/>
        <v>2000</v>
      </c>
      <c r="R503" s="75">
        <f t="shared" si="38"/>
        <v>0</v>
      </c>
      <c r="S503" s="188">
        <f t="shared" si="39"/>
        <v>0</v>
      </c>
    </row>
    <row r="504" spans="2:19" ht="12.75">
      <c r="B504" s="28">
        <f t="shared" si="40"/>
        <v>59</v>
      </c>
      <c r="C504" s="5"/>
      <c r="D504" s="5"/>
      <c r="E504" s="5"/>
      <c r="F504" s="33"/>
      <c r="G504" s="42"/>
      <c r="H504" s="5" t="s">
        <v>477</v>
      </c>
      <c r="I504" s="75"/>
      <c r="J504" s="75"/>
      <c r="K504" s="190"/>
      <c r="L504" s="99"/>
      <c r="M504" s="75">
        <v>65000</v>
      </c>
      <c r="N504" s="75">
        <v>0</v>
      </c>
      <c r="O504" s="189">
        <f t="shared" si="41"/>
        <v>0</v>
      </c>
      <c r="P504" s="99"/>
      <c r="Q504" s="75">
        <f t="shared" si="37"/>
        <v>65000</v>
      </c>
      <c r="R504" s="75">
        <f t="shared" si="38"/>
        <v>0</v>
      </c>
      <c r="S504" s="188">
        <f t="shared" si="39"/>
        <v>0</v>
      </c>
    </row>
    <row r="505" spans="2:19" ht="12.75">
      <c r="B505" s="28">
        <f t="shared" si="40"/>
        <v>60</v>
      </c>
      <c r="C505" s="5"/>
      <c r="D505" s="5"/>
      <c r="E505" s="5"/>
      <c r="F505" s="33"/>
      <c r="G505" s="42"/>
      <c r="H505" s="5" t="s">
        <v>462</v>
      </c>
      <c r="I505" s="75"/>
      <c r="J505" s="75"/>
      <c r="K505" s="190"/>
      <c r="L505" s="99"/>
      <c r="M505" s="75">
        <v>15000</v>
      </c>
      <c r="N505" s="75">
        <v>0</v>
      </c>
      <c r="O505" s="189">
        <f t="shared" si="41"/>
        <v>0</v>
      </c>
      <c r="P505" s="99"/>
      <c r="Q505" s="75">
        <f t="shared" si="37"/>
        <v>15000</v>
      </c>
      <c r="R505" s="75">
        <f t="shared" si="38"/>
        <v>0</v>
      </c>
      <c r="S505" s="188">
        <f t="shared" si="39"/>
        <v>0</v>
      </c>
    </row>
    <row r="506" spans="2:19" ht="12.75">
      <c r="B506" s="28">
        <f t="shared" si="40"/>
        <v>61</v>
      </c>
      <c r="C506" s="4"/>
      <c r="D506" s="4"/>
      <c r="E506" s="4"/>
      <c r="F506" s="47" t="s">
        <v>229</v>
      </c>
      <c r="G506" s="48">
        <v>717</v>
      </c>
      <c r="H506" s="49" t="s">
        <v>190</v>
      </c>
      <c r="I506" s="84"/>
      <c r="J506" s="84"/>
      <c r="K506" s="190"/>
      <c r="L506" s="178"/>
      <c r="M506" s="84">
        <f>SUM(M507:M532)</f>
        <v>4337179</v>
      </c>
      <c r="N506" s="84">
        <f>SUM(N507:N532)</f>
        <v>890</v>
      </c>
      <c r="O506" s="189">
        <f t="shared" si="41"/>
        <v>0.02052025060528975</v>
      </c>
      <c r="P506" s="178"/>
      <c r="Q506" s="84">
        <f t="shared" si="37"/>
        <v>4337179</v>
      </c>
      <c r="R506" s="84">
        <f t="shared" si="38"/>
        <v>890</v>
      </c>
      <c r="S506" s="188">
        <f t="shared" si="39"/>
        <v>0.02052025060528975</v>
      </c>
    </row>
    <row r="507" spans="2:19" ht="22.5">
      <c r="B507" s="28">
        <f t="shared" si="40"/>
        <v>62</v>
      </c>
      <c r="C507" s="29"/>
      <c r="D507" s="29"/>
      <c r="E507" s="29"/>
      <c r="F507" s="33"/>
      <c r="G507" s="33"/>
      <c r="H507" s="110" t="s">
        <v>435</v>
      </c>
      <c r="I507" s="83"/>
      <c r="J507" s="83"/>
      <c r="K507" s="190"/>
      <c r="L507" s="107"/>
      <c r="M507" s="83">
        <v>63841</v>
      </c>
      <c r="N507" s="83">
        <v>0</v>
      </c>
      <c r="O507" s="189">
        <f t="shared" si="41"/>
        <v>0</v>
      </c>
      <c r="P507" s="107"/>
      <c r="Q507" s="83">
        <f t="shared" si="37"/>
        <v>63841</v>
      </c>
      <c r="R507" s="83">
        <f t="shared" si="38"/>
        <v>0</v>
      </c>
      <c r="S507" s="188">
        <f t="shared" si="39"/>
        <v>0</v>
      </c>
    </row>
    <row r="508" spans="2:19" ht="33.75">
      <c r="B508" s="28">
        <f t="shared" si="40"/>
        <v>63</v>
      </c>
      <c r="C508" s="29"/>
      <c r="D508" s="29"/>
      <c r="E508" s="29"/>
      <c r="F508" s="33"/>
      <c r="G508" s="33"/>
      <c r="H508" s="110" t="s">
        <v>436</v>
      </c>
      <c r="I508" s="83"/>
      <c r="J508" s="83"/>
      <c r="K508" s="190"/>
      <c r="L508" s="107"/>
      <c r="M508" s="83">
        <v>520000</v>
      </c>
      <c r="N508" s="83">
        <v>0</v>
      </c>
      <c r="O508" s="189">
        <f t="shared" si="41"/>
        <v>0</v>
      </c>
      <c r="P508" s="107"/>
      <c r="Q508" s="83">
        <f t="shared" si="37"/>
        <v>520000</v>
      </c>
      <c r="R508" s="83">
        <f t="shared" si="38"/>
        <v>0</v>
      </c>
      <c r="S508" s="188">
        <f t="shared" si="39"/>
        <v>0</v>
      </c>
    </row>
    <row r="509" spans="2:19" ht="33.75">
      <c r="B509" s="28">
        <f t="shared" si="40"/>
        <v>64</v>
      </c>
      <c r="C509" s="29"/>
      <c r="D509" s="29"/>
      <c r="E509" s="29"/>
      <c r="F509" s="33"/>
      <c r="G509" s="33"/>
      <c r="H509" s="110" t="s">
        <v>437</v>
      </c>
      <c r="I509" s="83"/>
      <c r="J509" s="83"/>
      <c r="K509" s="190"/>
      <c r="L509" s="107"/>
      <c r="M509" s="83">
        <v>91900</v>
      </c>
      <c r="N509" s="83">
        <v>0</v>
      </c>
      <c r="O509" s="189">
        <f t="shared" si="41"/>
        <v>0</v>
      </c>
      <c r="P509" s="107"/>
      <c r="Q509" s="83">
        <f t="shared" si="37"/>
        <v>91900</v>
      </c>
      <c r="R509" s="83">
        <f t="shared" si="38"/>
        <v>0</v>
      </c>
      <c r="S509" s="188">
        <f t="shared" si="39"/>
        <v>0</v>
      </c>
    </row>
    <row r="510" spans="2:19" ht="33.75">
      <c r="B510" s="28">
        <f t="shared" si="40"/>
        <v>65</v>
      </c>
      <c r="C510" s="29"/>
      <c r="D510" s="29"/>
      <c r="E510" s="29"/>
      <c r="F510" s="33"/>
      <c r="G510" s="33"/>
      <c r="H510" s="110" t="s">
        <v>434</v>
      </c>
      <c r="I510" s="83"/>
      <c r="J510" s="83"/>
      <c r="K510" s="190"/>
      <c r="L510" s="107"/>
      <c r="M510" s="83">
        <v>179875</v>
      </c>
      <c r="N510" s="83">
        <v>0</v>
      </c>
      <c r="O510" s="189">
        <f t="shared" si="41"/>
        <v>0</v>
      </c>
      <c r="P510" s="107"/>
      <c r="Q510" s="83">
        <f aca="true" t="shared" si="43" ref="Q510:Q532">I510+M510</f>
        <v>179875</v>
      </c>
      <c r="R510" s="83">
        <f aca="true" t="shared" si="44" ref="R510:R532">J510+N510</f>
        <v>0</v>
      </c>
      <c r="S510" s="188">
        <f aca="true" t="shared" si="45" ref="S510:S534">R510/Q510*100</f>
        <v>0</v>
      </c>
    </row>
    <row r="511" spans="2:19" ht="33.75">
      <c r="B511" s="28">
        <f t="shared" si="40"/>
        <v>66</v>
      </c>
      <c r="C511" s="29"/>
      <c r="D511" s="29"/>
      <c r="E511" s="29"/>
      <c r="F511" s="33"/>
      <c r="G511" s="33"/>
      <c r="H511" s="110" t="s">
        <v>440</v>
      </c>
      <c r="I511" s="83"/>
      <c r="J511" s="83"/>
      <c r="K511" s="190"/>
      <c r="L511" s="107"/>
      <c r="M511" s="83">
        <v>1370000</v>
      </c>
      <c r="N511" s="83">
        <v>0</v>
      </c>
      <c r="O511" s="189">
        <f aca="true" t="shared" si="46" ref="O511:O534">N511/M511*100</f>
        <v>0</v>
      </c>
      <c r="P511" s="107"/>
      <c r="Q511" s="83">
        <f t="shared" si="43"/>
        <v>1370000</v>
      </c>
      <c r="R511" s="83">
        <f t="shared" si="44"/>
        <v>0</v>
      </c>
      <c r="S511" s="188">
        <f t="shared" si="45"/>
        <v>0</v>
      </c>
    </row>
    <row r="512" spans="2:19" ht="12.75">
      <c r="B512" s="28">
        <f aca="true" t="shared" si="47" ref="B512:B534">B511+1</f>
        <v>67</v>
      </c>
      <c r="C512" s="29"/>
      <c r="D512" s="29"/>
      <c r="E512" s="29"/>
      <c r="F512" s="33"/>
      <c r="G512" s="33"/>
      <c r="H512" s="5" t="s">
        <v>458</v>
      </c>
      <c r="I512" s="83"/>
      <c r="J512" s="83"/>
      <c r="K512" s="190"/>
      <c r="L512" s="107"/>
      <c r="M512" s="83">
        <f>178364-10000-9400-2300</f>
        <v>156664</v>
      </c>
      <c r="N512" s="83">
        <v>0</v>
      </c>
      <c r="O512" s="189">
        <f t="shared" si="46"/>
        <v>0</v>
      </c>
      <c r="P512" s="107"/>
      <c r="Q512" s="83">
        <f t="shared" si="43"/>
        <v>156664</v>
      </c>
      <c r="R512" s="83">
        <f t="shared" si="44"/>
        <v>0</v>
      </c>
      <c r="S512" s="188">
        <f t="shared" si="45"/>
        <v>0</v>
      </c>
    </row>
    <row r="513" spans="2:19" ht="12.75">
      <c r="B513" s="28">
        <f t="shared" si="47"/>
        <v>68</v>
      </c>
      <c r="C513" s="5"/>
      <c r="D513" s="5"/>
      <c r="E513" s="5"/>
      <c r="F513" s="33"/>
      <c r="G513" s="42"/>
      <c r="H513" s="5" t="s">
        <v>292</v>
      </c>
      <c r="I513" s="75"/>
      <c r="J513" s="75"/>
      <c r="K513" s="190"/>
      <c r="L513" s="99"/>
      <c r="M513" s="75">
        <v>90000</v>
      </c>
      <c r="N513" s="75">
        <v>0</v>
      </c>
      <c r="O513" s="189">
        <f t="shared" si="46"/>
        <v>0</v>
      </c>
      <c r="P513" s="99"/>
      <c r="Q513" s="75">
        <f t="shared" si="43"/>
        <v>90000</v>
      </c>
      <c r="R513" s="75">
        <f t="shared" si="44"/>
        <v>0</v>
      </c>
      <c r="S513" s="188">
        <f t="shared" si="45"/>
        <v>0</v>
      </c>
    </row>
    <row r="514" spans="2:19" ht="12.75">
      <c r="B514" s="28">
        <f t="shared" si="47"/>
        <v>69</v>
      </c>
      <c r="C514" s="5"/>
      <c r="D514" s="5"/>
      <c r="E514" s="5"/>
      <c r="F514" s="33"/>
      <c r="G514" s="42"/>
      <c r="H514" s="5" t="s">
        <v>429</v>
      </c>
      <c r="I514" s="75"/>
      <c r="J514" s="75"/>
      <c r="K514" s="190"/>
      <c r="L514" s="99"/>
      <c r="M514" s="75">
        <v>160000</v>
      </c>
      <c r="N514" s="75">
        <v>0</v>
      </c>
      <c r="O514" s="189">
        <f t="shared" si="46"/>
        <v>0</v>
      </c>
      <c r="P514" s="99"/>
      <c r="Q514" s="75">
        <f t="shared" si="43"/>
        <v>160000</v>
      </c>
      <c r="R514" s="75">
        <f t="shared" si="44"/>
        <v>0</v>
      </c>
      <c r="S514" s="188">
        <f t="shared" si="45"/>
        <v>0</v>
      </c>
    </row>
    <row r="515" spans="2:19" ht="12.75">
      <c r="B515" s="28">
        <f t="shared" si="47"/>
        <v>70</v>
      </c>
      <c r="C515" s="5"/>
      <c r="D515" s="5"/>
      <c r="E515" s="5"/>
      <c r="F515" s="33"/>
      <c r="G515" s="42"/>
      <c r="H515" s="5" t="s">
        <v>451</v>
      </c>
      <c r="I515" s="75"/>
      <c r="J515" s="75"/>
      <c r="K515" s="190"/>
      <c r="L515" s="99"/>
      <c r="M515" s="75">
        <f>95000+51519</f>
        <v>146519</v>
      </c>
      <c r="N515" s="75">
        <v>0</v>
      </c>
      <c r="O515" s="189">
        <f t="shared" si="46"/>
        <v>0</v>
      </c>
      <c r="P515" s="99"/>
      <c r="Q515" s="75">
        <f t="shared" si="43"/>
        <v>146519</v>
      </c>
      <c r="R515" s="75">
        <f t="shared" si="44"/>
        <v>0</v>
      </c>
      <c r="S515" s="188">
        <f t="shared" si="45"/>
        <v>0</v>
      </c>
    </row>
    <row r="516" spans="2:19" ht="12.75">
      <c r="B516" s="28">
        <f t="shared" si="47"/>
        <v>71</v>
      </c>
      <c r="C516" s="5"/>
      <c r="D516" s="5"/>
      <c r="E516" s="5"/>
      <c r="F516" s="33"/>
      <c r="G516" s="42"/>
      <c r="H516" s="5" t="s">
        <v>542</v>
      </c>
      <c r="I516" s="75"/>
      <c r="J516" s="75"/>
      <c r="K516" s="190"/>
      <c r="L516" s="99"/>
      <c r="M516" s="75">
        <v>90600</v>
      </c>
      <c r="N516" s="75">
        <v>0</v>
      </c>
      <c r="O516" s="189">
        <f t="shared" si="46"/>
        <v>0</v>
      </c>
      <c r="P516" s="99"/>
      <c r="Q516" s="75">
        <f t="shared" si="43"/>
        <v>90600</v>
      </c>
      <c r="R516" s="75">
        <f t="shared" si="44"/>
        <v>0</v>
      </c>
      <c r="S516" s="188">
        <f t="shared" si="45"/>
        <v>0</v>
      </c>
    </row>
    <row r="517" spans="2:19" ht="12.75">
      <c r="B517" s="28">
        <f t="shared" si="47"/>
        <v>72</v>
      </c>
      <c r="C517" s="5"/>
      <c r="D517" s="5"/>
      <c r="E517" s="5"/>
      <c r="F517" s="33"/>
      <c r="G517" s="42"/>
      <c r="H517" s="5" t="s">
        <v>33</v>
      </c>
      <c r="I517" s="75"/>
      <c r="J517" s="75"/>
      <c r="K517" s="190"/>
      <c r="L517" s="99"/>
      <c r="M517" s="75">
        <f>172000-720+100000</f>
        <v>271280</v>
      </c>
      <c r="N517" s="75">
        <v>0</v>
      </c>
      <c r="O517" s="189">
        <f t="shared" si="46"/>
        <v>0</v>
      </c>
      <c r="P517" s="99"/>
      <c r="Q517" s="75">
        <f t="shared" si="43"/>
        <v>271280</v>
      </c>
      <c r="R517" s="75">
        <f t="shared" si="44"/>
        <v>0</v>
      </c>
      <c r="S517" s="188">
        <f t="shared" si="45"/>
        <v>0</v>
      </c>
    </row>
    <row r="518" spans="2:19" ht="12.75">
      <c r="B518" s="28">
        <f t="shared" si="47"/>
        <v>73</v>
      </c>
      <c r="C518" s="5"/>
      <c r="D518" s="5"/>
      <c r="E518" s="5"/>
      <c r="F518" s="33"/>
      <c r="G518" s="42"/>
      <c r="H518" s="5" t="s">
        <v>510</v>
      </c>
      <c r="I518" s="75"/>
      <c r="J518" s="75"/>
      <c r="K518" s="190"/>
      <c r="L518" s="99"/>
      <c r="M518" s="75">
        <f>20000-1500</f>
        <v>18500</v>
      </c>
      <c r="N518" s="75">
        <v>0</v>
      </c>
      <c r="O518" s="189">
        <f t="shared" si="46"/>
        <v>0</v>
      </c>
      <c r="P518" s="99"/>
      <c r="Q518" s="75">
        <f t="shared" si="43"/>
        <v>18500</v>
      </c>
      <c r="R518" s="75">
        <f t="shared" si="44"/>
        <v>0</v>
      </c>
      <c r="S518" s="188">
        <f t="shared" si="45"/>
        <v>0</v>
      </c>
    </row>
    <row r="519" spans="2:19" ht="12.75">
      <c r="B519" s="28">
        <f t="shared" si="47"/>
        <v>74</v>
      </c>
      <c r="C519" s="5"/>
      <c r="D519" s="5"/>
      <c r="E519" s="5"/>
      <c r="F519" s="33"/>
      <c r="G519" s="42"/>
      <c r="H519" s="5" t="s">
        <v>354</v>
      </c>
      <c r="I519" s="75"/>
      <c r="J519" s="75"/>
      <c r="K519" s="190"/>
      <c r="L519" s="99"/>
      <c r="M519" s="75">
        <v>9000</v>
      </c>
      <c r="N519" s="75">
        <v>30</v>
      </c>
      <c r="O519" s="189">
        <f t="shared" si="46"/>
        <v>0.33333333333333337</v>
      </c>
      <c r="P519" s="99"/>
      <c r="Q519" s="75">
        <f t="shared" si="43"/>
        <v>9000</v>
      </c>
      <c r="R519" s="75">
        <f t="shared" si="44"/>
        <v>30</v>
      </c>
      <c r="S519" s="188">
        <f t="shared" si="45"/>
        <v>0.33333333333333337</v>
      </c>
    </row>
    <row r="520" spans="2:19" ht="12.75">
      <c r="B520" s="28">
        <f t="shared" si="47"/>
        <v>75</v>
      </c>
      <c r="C520" s="5"/>
      <c r="D520" s="5"/>
      <c r="E520" s="5"/>
      <c r="F520" s="33"/>
      <c r="G520" s="42"/>
      <c r="H520" s="5" t="s">
        <v>446</v>
      </c>
      <c r="I520" s="75"/>
      <c r="J520" s="75"/>
      <c r="K520" s="190"/>
      <c r="L520" s="99"/>
      <c r="M520" s="75">
        <v>130000</v>
      </c>
      <c r="N520" s="75">
        <v>0</v>
      </c>
      <c r="O520" s="189">
        <f t="shared" si="46"/>
        <v>0</v>
      </c>
      <c r="P520" s="99"/>
      <c r="Q520" s="75">
        <f t="shared" si="43"/>
        <v>130000</v>
      </c>
      <c r="R520" s="75">
        <f t="shared" si="44"/>
        <v>0</v>
      </c>
      <c r="S520" s="188">
        <f t="shared" si="45"/>
        <v>0</v>
      </c>
    </row>
    <row r="521" spans="2:19" ht="12.75">
      <c r="B521" s="28">
        <f t="shared" si="47"/>
        <v>76</v>
      </c>
      <c r="C521" s="5"/>
      <c r="D521" s="5"/>
      <c r="E521" s="5"/>
      <c r="F521" s="33"/>
      <c r="G521" s="42"/>
      <c r="H521" s="5" t="s">
        <v>516</v>
      </c>
      <c r="I521" s="75"/>
      <c r="J521" s="75"/>
      <c r="K521" s="190"/>
      <c r="L521" s="99"/>
      <c r="M521" s="75">
        <v>76000</v>
      </c>
      <c r="N521" s="75">
        <v>120</v>
      </c>
      <c r="O521" s="189">
        <f t="shared" si="46"/>
        <v>0.15789473684210525</v>
      </c>
      <c r="P521" s="99"/>
      <c r="Q521" s="75">
        <f t="shared" si="43"/>
        <v>76000</v>
      </c>
      <c r="R521" s="75">
        <f t="shared" si="44"/>
        <v>120</v>
      </c>
      <c r="S521" s="188">
        <f t="shared" si="45"/>
        <v>0.15789473684210525</v>
      </c>
    </row>
    <row r="522" spans="2:19" ht="12.75">
      <c r="B522" s="28">
        <f t="shared" si="47"/>
        <v>77</v>
      </c>
      <c r="C522" s="5"/>
      <c r="D522" s="5"/>
      <c r="E522" s="5"/>
      <c r="F522" s="33"/>
      <c r="G522" s="42"/>
      <c r="H522" s="5" t="s">
        <v>463</v>
      </c>
      <c r="I522" s="75"/>
      <c r="J522" s="75"/>
      <c r="K522" s="190"/>
      <c r="L522" s="99"/>
      <c r="M522" s="75">
        <f>10000-2000</f>
        <v>8000</v>
      </c>
      <c r="N522" s="75">
        <v>0</v>
      </c>
      <c r="O522" s="189">
        <f t="shared" si="46"/>
        <v>0</v>
      </c>
      <c r="P522" s="99"/>
      <c r="Q522" s="75">
        <f t="shared" si="43"/>
        <v>8000</v>
      </c>
      <c r="R522" s="75">
        <f t="shared" si="44"/>
        <v>0</v>
      </c>
      <c r="S522" s="188">
        <f t="shared" si="45"/>
        <v>0</v>
      </c>
    </row>
    <row r="523" spans="2:19" ht="12.75">
      <c r="B523" s="28">
        <f t="shared" si="47"/>
        <v>78</v>
      </c>
      <c r="C523" s="5"/>
      <c r="D523" s="5"/>
      <c r="E523" s="5"/>
      <c r="F523" s="33"/>
      <c r="G523" s="42"/>
      <c r="H523" s="5" t="s">
        <v>356</v>
      </c>
      <c r="I523" s="75"/>
      <c r="J523" s="75"/>
      <c r="K523" s="190"/>
      <c r="L523" s="99"/>
      <c r="M523" s="75">
        <f>1000+5000</f>
        <v>6000</v>
      </c>
      <c r="N523" s="75">
        <v>343</v>
      </c>
      <c r="O523" s="189">
        <f t="shared" si="46"/>
        <v>5.716666666666667</v>
      </c>
      <c r="P523" s="99"/>
      <c r="Q523" s="75">
        <f t="shared" si="43"/>
        <v>6000</v>
      </c>
      <c r="R523" s="75">
        <f t="shared" si="44"/>
        <v>343</v>
      </c>
      <c r="S523" s="188">
        <f t="shared" si="45"/>
        <v>5.716666666666667</v>
      </c>
    </row>
    <row r="524" spans="2:19" ht="12.75">
      <c r="B524" s="28">
        <f t="shared" si="47"/>
        <v>79</v>
      </c>
      <c r="C524" s="5"/>
      <c r="D524" s="5"/>
      <c r="E524" s="5"/>
      <c r="F524" s="33"/>
      <c r="G524" s="42"/>
      <c r="H524" s="5" t="s">
        <v>464</v>
      </c>
      <c r="I524" s="75"/>
      <c r="J524" s="75"/>
      <c r="K524" s="190"/>
      <c r="L524" s="99"/>
      <c r="M524" s="75">
        <v>270000</v>
      </c>
      <c r="N524" s="75">
        <v>63</v>
      </c>
      <c r="O524" s="189">
        <f t="shared" si="46"/>
        <v>0.023333333333333334</v>
      </c>
      <c r="P524" s="99"/>
      <c r="Q524" s="75">
        <f t="shared" si="43"/>
        <v>270000</v>
      </c>
      <c r="R524" s="75">
        <f t="shared" si="44"/>
        <v>63</v>
      </c>
      <c r="S524" s="188">
        <f t="shared" si="45"/>
        <v>0.023333333333333334</v>
      </c>
    </row>
    <row r="525" spans="2:19" ht="12.75">
      <c r="B525" s="28">
        <f t="shared" si="47"/>
        <v>80</v>
      </c>
      <c r="C525" s="5"/>
      <c r="D525" s="5"/>
      <c r="E525" s="5"/>
      <c r="F525" s="33"/>
      <c r="G525" s="42"/>
      <c r="H525" s="5" t="s">
        <v>465</v>
      </c>
      <c r="I525" s="75"/>
      <c r="J525" s="75"/>
      <c r="K525" s="190"/>
      <c r="L525" s="99"/>
      <c r="M525" s="75">
        <f>100000-5000</f>
        <v>95000</v>
      </c>
      <c r="N525" s="75">
        <v>0</v>
      </c>
      <c r="O525" s="189">
        <f t="shared" si="46"/>
        <v>0</v>
      </c>
      <c r="P525" s="99"/>
      <c r="Q525" s="75">
        <f t="shared" si="43"/>
        <v>95000</v>
      </c>
      <c r="R525" s="75">
        <f t="shared" si="44"/>
        <v>0</v>
      </c>
      <c r="S525" s="188">
        <f t="shared" si="45"/>
        <v>0</v>
      </c>
    </row>
    <row r="526" spans="2:19" ht="12.75">
      <c r="B526" s="28">
        <f t="shared" si="47"/>
        <v>81</v>
      </c>
      <c r="C526" s="5"/>
      <c r="D526" s="5"/>
      <c r="E526" s="5"/>
      <c r="F526" s="33"/>
      <c r="G526" s="42"/>
      <c r="H526" s="5" t="s">
        <v>454</v>
      </c>
      <c r="I526" s="75"/>
      <c r="J526" s="75"/>
      <c r="K526" s="190"/>
      <c r="L526" s="99"/>
      <c r="M526" s="75">
        <f>40000+5000</f>
        <v>45000</v>
      </c>
      <c r="N526" s="75">
        <v>0</v>
      </c>
      <c r="O526" s="189">
        <f t="shared" si="46"/>
        <v>0</v>
      </c>
      <c r="P526" s="99"/>
      <c r="Q526" s="75">
        <f t="shared" si="43"/>
        <v>45000</v>
      </c>
      <c r="R526" s="75">
        <f t="shared" si="44"/>
        <v>0</v>
      </c>
      <c r="S526" s="188">
        <f t="shared" si="45"/>
        <v>0</v>
      </c>
    </row>
    <row r="527" spans="2:19" ht="12.75">
      <c r="B527" s="28">
        <f t="shared" si="47"/>
        <v>82</v>
      </c>
      <c r="C527" s="5"/>
      <c r="D527" s="5"/>
      <c r="E527" s="5"/>
      <c r="F527" s="33"/>
      <c r="G527" s="42"/>
      <c r="H527" s="113" t="s">
        <v>443</v>
      </c>
      <c r="I527" s="75"/>
      <c r="J527" s="114"/>
      <c r="K527" s="190"/>
      <c r="L527" s="183"/>
      <c r="M527" s="111">
        <v>55000</v>
      </c>
      <c r="N527" s="111">
        <v>334</v>
      </c>
      <c r="O527" s="189">
        <f t="shared" si="46"/>
        <v>0.6072727272727273</v>
      </c>
      <c r="P527" s="167"/>
      <c r="Q527" s="75">
        <f t="shared" si="43"/>
        <v>55000</v>
      </c>
      <c r="R527" s="75">
        <f t="shared" si="44"/>
        <v>334</v>
      </c>
      <c r="S527" s="188">
        <f t="shared" si="45"/>
        <v>0.6072727272727273</v>
      </c>
    </row>
    <row r="528" spans="2:19" ht="12.75">
      <c r="B528" s="28">
        <f t="shared" si="47"/>
        <v>83</v>
      </c>
      <c r="C528" s="5"/>
      <c r="D528" s="5"/>
      <c r="E528" s="5"/>
      <c r="F528" s="33"/>
      <c r="G528" s="42"/>
      <c r="H528" s="5" t="s">
        <v>291</v>
      </c>
      <c r="I528" s="75"/>
      <c r="J528" s="75"/>
      <c r="K528" s="190"/>
      <c r="L528" s="99"/>
      <c r="M528" s="75">
        <v>45000</v>
      </c>
      <c r="N528" s="75">
        <v>0</v>
      </c>
      <c r="O528" s="189">
        <f t="shared" si="46"/>
        <v>0</v>
      </c>
      <c r="P528" s="99"/>
      <c r="Q528" s="75">
        <f t="shared" si="43"/>
        <v>45000</v>
      </c>
      <c r="R528" s="75">
        <f t="shared" si="44"/>
        <v>0</v>
      </c>
      <c r="S528" s="188">
        <f t="shared" si="45"/>
        <v>0</v>
      </c>
    </row>
    <row r="529" spans="2:19" ht="12.75">
      <c r="B529" s="28">
        <f t="shared" si="47"/>
        <v>84</v>
      </c>
      <c r="C529" s="5"/>
      <c r="D529" s="5"/>
      <c r="E529" s="5"/>
      <c r="F529" s="33"/>
      <c r="G529" s="42"/>
      <c r="H529" s="5" t="s">
        <v>298</v>
      </c>
      <c r="I529" s="75"/>
      <c r="J529" s="75"/>
      <c r="K529" s="190"/>
      <c r="L529" s="99"/>
      <c r="M529" s="75">
        <f>135000+29000</f>
        <v>164000</v>
      </c>
      <c r="N529" s="75">
        <v>0</v>
      </c>
      <c r="O529" s="189">
        <f t="shared" si="46"/>
        <v>0</v>
      </c>
      <c r="P529" s="99"/>
      <c r="Q529" s="75">
        <f t="shared" si="43"/>
        <v>164000</v>
      </c>
      <c r="R529" s="75">
        <f t="shared" si="44"/>
        <v>0</v>
      </c>
      <c r="S529" s="188">
        <f t="shared" si="45"/>
        <v>0</v>
      </c>
    </row>
    <row r="530" spans="2:19" ht="12.75">
      <c r="B530" s="28">
        <f t="shared" si="47"/>
        <v>85</v>
      </c>
      <c r="C530" s="5"/>
      <c r="D530" s="5"/>
      <c r="E530" s="5"/>
      <c r="F530" s="33"/>
      <c r="G530" s="42"/>
      <c r="H530" s="5" t="s">
        <v>466</v>
      </c>
      <c r="I530" s="75"/>
      <c r="J530" s="75"/>
      <c r="K530" s="190"/>
      <c r="L530" s="99"/>
      <c r="M530" s="75">
        <v>80000</v>
      </c>
      <c r="N530" s="75">
        <v>0</v>
      </c>
      <c r="O530" s="189">
        <f t="shared" si="46"/>
        <v>0</v>
      </c>
      <c r="P530" s="99"/>
      <c r="Q530" s="75">
        <f t="shared" si="43"/>
        <v>80000</v>
      </c>
      <c r="R530" s="75">
        <f t="shared" si="44"/>
        <v>0</v>
      </c>
      <c r="S530" s="188">
        <f t="shared" si="45"/>
        <v>0</v>
      </c>
    </row>
    <row r="531" spans="2:19" ht="12.75">
      <c r="B531" s="28">
        <f t="shared" si="47"/>
        <v>86</v>
      </c>
      <c r="C531" s="5"/>
      <c r="D531" s="5"/>
      <c r="E531" s="5"/>
      <c r="F531" s="33"/>
      <c r="G531" s="42"/>
      <c r="H531" s="5" t="s">
        <v>467</v>
      </c>
      <c r="I531" s="75"/>
      <c r="J531" s="114"/>
      <c r="K531" s="190"/>
      <c r="L531" s="183"/>
      <c r="M531" s="114">
        <v>80000</v>
      </c>
      <c r="N531" s="114">
        <v>0</v>
      </c>
      <c r="O531" s="189">
        <f t="shared" si="46"/>
        <v>0</v>
      </c>
      <c r="P531" s="183"/>
      <c r="Q531" s="75">
        <f t="shared" si="43"/>
        <v>80000</v>
      </c>
      <c r="R531" s="75">
        <f t="shared" si="44"/>
        <v>0</v>
      </c>
      <c r="S531" s="188">
        <f t="shared" si="45"/>
        <v>0</v>
      </c>
    </row>
    <row r="532" spans="2:19" ht="12.75">
      <c r="B532" s="28">
        <f t="shared" si="47"/>
        <v>87</v>
      </c>
      <c r="C532" s="5"/>
      <c r="D532" s="5"/>
      <c r="E532" s="5"/>
      <c r="F532" s="33"/>
      <c r="G532" s="42"/>
      <c r="H532" s="5" t="s">
        <v>444</v>
      </c>
      <c r="I532" s="75"/>
      <c r="J532" s="114"/>
      <c r="K532" s="190"/>
      <c r="L532" s="183"/>
      <c r="M532" s="111">
        <v>115000</v>
      </c>
      <c r="N532" s="111">
        <v>0</v>
      </c>
      <c r="O532" s="189">
        <f t="shared" si="46"/>
        <v>0</v>
      </c>
      <c r="P532" s="167"/>
      <c r="Q532" s="75">
        <f t="shared" si="43"/>
        <v>115000</v>
      </c>
      <c r="R532" s="75">
        <f t="shared" si="44"/>
        <v>0</v>
      </c>
      <c r="S532" s="188">
        <f t="shared" si="45"/>
        <v>0</v>
      </c>
    </row>
    <row r="533" spans="2:19" ht="12.75">
      <c r="B533" s="28">
        <f t="shared" si="47"/>
        <v>88</v>
      </c>
      <c r="C533" s="5"/>
      <c r="D533" s="5"/>
      <c r="E533" s="5"/>
      <c r="F533" s="31" t="s">
        <v>229</v>
      </c>
      <c r="G533" s="40">
        <v>720</v>
      </c>
      <c r="H533" s="9" t="s">
        <v>5</v>
      </c>
      <c r="I533" s="72"/>
      <c r="J533" s="72"/>
      <c r="K533" s="190"/>
      <c r="L533" s="177"/>
      <c r="M533" s="72">
        <f>M534</f>
        <v>15000</v>
      </c>
      <c r="N533" s="72">
        <f>N534</f>
        <v>15000</v>
      </c>
      <c r="O533" s="189">
        <f t="shared" si="46"/>
        <v>100</v>
      </c>
      <c r="P533" s="177"/>
      <c r="Q533" s="72">
        <f>M533</f>
        <v>15000</v>
      </c>
      <c r="R533" s="72">
        <f>N533</f>
        <v>15000</v>
      </c>
      <c r="S533" s="188">
        <f t="shared" si="45"/>
        <v>100</v>
      </c>
    </row>
    <row r="534" spans="2:19" ht="22.5">
      <c r="B534" s="28">
        <f t="shared" si="47"/>
        <v>89</v>
      </c>
      <c r="C534" s="5"/>
      <c r="D534" s="5"/>
      <c r="E534" s="5"/>
      <c r="F534" s="33"/>
      <c r="G534" s="33"/>
      <c r="H534" s="110" t="s">
        <v>505</v>
      </c>
      <c r="I534" s="83"/>
      <c r="J534" s="83"/>
      <c r="K534" s="190"/>
      <c r="L534" s="107"/>
      <c r="M534" s="83">
        <f>78000-63000</f>
        <v>15000</v>
      </c>
      <c r="N534" s="83">
        <v>15000</v>
      </c>
      <c r="O534" s="189">
        <f t="shared" si="46"/>
        <v>100</v>
      </c>
      <c r="P534" s="107"/>
      <c r="Q534" s="83">
        <f>SUM(M534)</f>
        <v>15000</v>
      </c>
      <c r="R534" s="83">
        <f>SUM(N534)</f>
        <v>15000</v>
      </c>
      <c r="S534" s="188">
        <f t="shared" si="45"/>
        <v>100</v>
      </c>
    </row>
    <row r="541" spans="2:17" ht="27.75" thickBot="1">
      <c r="B541" s="294" t="s">
        <v>25</v>
      </c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</row>
    <row r="542" spans="2:19" ht="12.75" customHeight="1" thickBot="1">
      <c r="B542" s="269" t="s">
        <v>309</v>
      </c>
      <c r="C542" s="269"/>
      <c r="D542" s="269"/>
      <c r="E542" s="269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170"/>
      <c r="Q542" s="274" t="s">
        <v>515</v>
      </c>
      <c r="R542" s="265" t="s">
        <v>569</v>
      </c>
      <c r="S542" s="266" t="s">
        <v>564</v>
      </c>
    </row>
    <row r="543" spans="2:19" ht="12.75" customHeight="1" thickBot="1">
      <c r="B543" s="275"/>
      <c r="C543" s="273" t="s">
        <v>118</v>
      </c>
      <c r="D543" s="273" t="s">
        <v>119</v>
      </c>
      <c r="E543" s="276"/>
      <c r="F543" s="273" t="s">
        <v>120</v>
      </c>
      <c r="G543" s="270" t="s">
        <v>121</v>
      </c>
      <c r="H543" s="271" t="s">
        <v>122</v>
      </c>
      <c r="I543" s="267" t="s">
        <v>565</v>
      </c>
      <c r="J543" s="267" t="s">
        <v>566</v>
      </c>
      <c r="K543" s="268" t="s">
        <v>564</v>
      </c>
      <c r="L543" s="168"/>
      <c r="M543" s="272" t="s">
        <v>567</v>
      </c>
      <c r="N543" s="267" t="s">
        <v>568</v>
      </c>
      <c r="O543" s="268" t="s">
        <v>564</v>
      </c>
      <c r="P543" s="171"/>
      <c r="Q543" s="274"/>
      <c r="R543" s="265"/>
      <c r="S543" s="266"/>
    </row>
    <row r="544" spans="2:19" ht="13.5" thickBot="1">
      <c r="B544" s="275"/>
      <c r="C544" s="273"/>
      <c r="D544" s="273"/>
      <c r="E544" s="276"/>
      <c r="F544" s="273"/>
      <c r="G544" s="270"/>
      <c r="H544" s="271"/>
      <c r="I544" s="267"/>
      <c r="J544" s="267"/>
      <c r="K544" s="268"/>
      <c r="L544" s="168"/>
      <c r="M544" s="272"/>
      <c r="N544" s="267"/>
      <c r="O544" s="268"/>
      <c r="P544" s="171"/>
      <c r="Q544" s="274"/>
      <c r="R544" s="265"/>
      <c r="S544" s="266"/>
    </row>
    <row r="545" spans="2:19" ht="13.5" thickBot="1">
      <c r="B545" s="275"/>
      <c r="C545" s="273"/>
      <c r="D545" s="273"/>
      <c r="E545" s="276"/>
      <c r="F545" s="273"/>
      <c r="G545" s="270"/>
      <c r="H545" s="271"/>
      <c r="I545" s="267"/>
      <c r="J545" s="267"/>
      <c r="K545" s="268"/>
      <c r="L545" s="168"/>
      <c r="M545" s="272"/>
      <c r="N545" s="267"/>
      <c r="O545" s="268"/>
      <c r="P545" s="171"/>
      <c r="Q545" s="274"/>
      <c r="R545" s="265"/>
      <c r="S545" s="266"/>
    </row>
    <row r="546" spans="2:19" ht="13.5" thickBot="1">
      <c r="B546" s="275"/>
      <c r="C546" s="273"/>
      <c r="D546" s="273"/>
      <c r="E546" s="276"/>
      <c r="F546" s="273"/>
      <c r="G546" s="270"/>
      <c r="H546" s="271"/>
      <c r="I546" s="267"/>
      <c r="J546" s="267"/>
      <c r="K546" s="268"/>
      <c r="L546" s="169"/>
      <c r="M546" s="272"/>
      <c r="N546" s="267"/>
      <c r="O546" s="268"/>
      <c r="P546" s="171"/>
      <c r="Q546" s="274"/>
      <c r="R546" s="265"/>
      <c r="S546" s="266"/>
    </row>
    <row r="547" spans="2:19" ht="16.5" thickTop="1">
      <c r="B547" s="95">
        <v>1</v>
      </c>
      <c r="C547" s="281" t="s">
        <v>25</v>
      </c>
      <c r="D547" s="285"/>
      <c r="E547" s="285"/>
      <c r="F547" s="285"/>
      <c r="G547" s="285"/>
      <c r="H547" s="286"/>
      <c r="I547" s="81">
        <f>I548+I707+I929+I1041+I1290</f>
        <v>23485151</v>
      </c>
      <c r="J547" s="81">
        <f>J548+J707+J929+J1041+J1290</f>
        <v>9066807</v>
      </c>
      <c r="K547" s="189">
        <f aca="true" t="shared" si="48" ref="K547:K610">J547/I547*100</f>
        <v>38.606551859087475</v>
      </c>
      <c r="L547" s="179"/>
      <c r="M547" s="81">
        <f>M1290+M1041+M929+M707+M548</f>
        <v>763651</v>
      </c>
      <c r="N547" s="81">
        <f>N1290+N1041+N929+N707+N548</f>
        <v>85937</v>
      </c>
      <c r="O547" s="189">
        <f>N547/M547*100</f>
        <v>11.253439070989234</v>
      </c>
      <c r="P547" s="179"/>
      <c r="Q547" s="81">
        <f aca="true" t="shared" si="49" ref="Q547:Q610">M547+I547</f>
        <v>24248802</v>
      </c>
      <c r="R547" s="81">
        <f aca="true" t="shared" si="50" ref="R547:R610">N547+J547</f>
        <v>9152744</v>
      </c>
      <c r="S547" s="188">
        <f aca="true" t="shared" si="51" ref="S547:S610">R547/Q547*100</f>
        <v>37.74513891449153</v>
      </c>
    </row>
    <row r="548" spans="2:19" ht="15">
      <c r="B548" s="95">
        <f>B547+1</f>
        <v>2</v>
      </c>
      <c r="C548" s="96">
        <v>1</v>
      </c>
      <c r="D548" s="296" t="s">
        <v>196</v>
      </c>
      <c r="E548" s="297"/>
      <c r="F548" s="297"/>
      <c r="G548" s="297"/>
      <c r="H548" s="298"/>
      <c r="I548" s="97">
        <f>I549+I559+I569</f>
        <v>5274885</v>
      </c>
      <c r="J548" s="97">
        <f>J549+J559+J569</f>
        <v>2130681</v>
      </c>
      <c r="K548" s="190">
        <f t="shared" si="48"/>
        <v>40.39293747636204</v>
      </c>
      <c r="L548" s="184"/>
      <c r="M548" s="97"/>
      <c r="N548" s="97"/>
      <c r="O548" s="189"/>
      <c r="P548" s="184"/>
      <c r="Q548" s="97">
        <f t="shared" si="49"/>
        <v>5274885</v>
      </c>
      <c r="R548" s="97">
        <f t="shared" si="50"/>
        <v>2130681</v>
      </c>
      <c r="S548" s="188">
        <f t="shared" si="51"/>
        <v>40.39293747636204</v>
      </c>
    </row>
    <row r="549" spans="2:19" ht="12.75">
      <c r="B549" s="95">
        <f aca="true" t="shared" si="52" ref="B549:B612">B548+1</f>
        <v>3</v>
      </c>
      <c r="C549" s="3"/>
      <c r="D549" s="3"/>
      <c r="E549" s="3"/>
      <c r="F549" s="92" t="s">
        <v>195</v>
      </c>
      <c r="G549" s="93">
        <v>640</v>
      </c>
      <c r="H549" s="3" t="s">
        <v>132</v>
      </c>
      <c r="I549" s="70">
        <f>I550</f>
        <v>716457</v>
      </c>
      <c r="J549" s="70">
        <f>J550</f>
        <v>362061</v>
      </c>
      <c r="K549" s="190">
        <f t="shared" si="48"/>
        <v>50.534923938212614</v>
      </c>
      <c r="L549" s="177"/>
      <c r="M549" s="70"/>
      <c r="N549" s="70"/>
      <c r="O549" s="189"/>
      <c r="P549" s="177"/>
      <c r="Q549" s="70">
        <f t="shared" si="49"/>
        <v>716457</v>
      </c>
      <c r="R549" s="70">
        <f t="shared" si="50"/>
        <v>362061</v>
      </c>
      <c r="S549" s="188">
        <f t="shared" si="51"/>
        <v>50.534923938212614</v>
      </c>
    </row>
    <row r="550" spans="2:19" ht="12.75">
      <c r="B550" s="95">
        <f t="shared" si="52"/>
        <v>4</v>
      </c>
      <c r="C550" s="4"/>
      <c r="D550" s="4"/>
      <c r="E550" s="4"/>
      <c r="F550" s="32" t="s">
        <v>195</v>
      </c>
      <c r="G550" s="41">
        <v>642</v>
      </c>
      <c r="H550" s="64" t="s">
        <v>133</v>
      </c>
      <c r="I550" s="71">
        <f>SUM(I551:I558)</f>
        <v>716457</v>
      </c>
      <c r="J550" s="71">
        <f>SUM(J551:J558)</f>
        <v>362061</v>
      </c>
      <c r="K550" s="190">
        <f t="shared" si="48"/>
        <v>50.534923938212614</v>
      </c>
      <c r="L550" s="178"/>
      <c r="M550" s="71"/>
      <c r="N550" s="71"/>
      <c r="O550" s="189"/>
      <c r="P550" s="178"/>
      <c r="Q550" s="71">
        <f t="shared" si="49"/>
        <v>716457</v>
      </c>
      <c r="R550" s="71">
        <f t="shared" si="50"/>
        <v>362061</v>
      </c>
      <c r="S550" s="188">
        <f t="shared" si="51"/>
        <v>50.534923938212614</v>
      </c>
    </row>
    <row r="551" spans="2:19" ht="12.75">
      <c r="B551" s="95">
        <f t="shared" si="52"/>
        <v>5</v>
      </c>
      <c r="C551" s="5"/>
      <c r="D551" s="5"/>
      <c r="E551" s="5"/>
      <c r="F551" s="33"/>
      <c r="G551" s="63"/>
      <c r="H551" s="66" t="s">
        <v>390</v>
      </c>
      <c r="I551" s="75">
        <f>182512+7475</f>
        <v>189987</v>
      </c>
      <c r="J551" s="75">
        <v>93747</v>
      </c>
      <c r="K551" s="190">
        <f t="shared" si="48"/>
        <v>49.34390247753794</v>
      </c>
      <c r="L551" s="99"/>
      <c r="M551" s="75"/>
      <c r="N551" s="75"/>
      <c r="O551" s="189"/>
      <c r="P551" s="99"/>
      <c r="Q551" s="75">
        <f t="shared" si="49"/>
        <v>189987</v>
      </c>
      <c r="R551" s="75">
        <f t="shared" si="50"/>
        <v>93747</v>
      </c>
      <c r="S551" s="188">
        <f t="shared" si="51"/>
        <v>49.34390247753794</v>
      </c>
    </row>
    <row r="552" spans="2:19" ht="12.75">
      <c r="B552" s="95">
        <f t="shared" si="52"/>
        <v>6</v>
      </c>
      <c r="C552" s="5"/>
      <c r="D552" s="5"/>
      <c r="E552" s="5"/>
      <c r="F552" s="33"/>
      <c r="G552" s="63"/>
      <c r="H552" s="66" t="s">
        <v>391</v>
      </c>
      <c r="I552" s="75">
        <f>67857-22077</f>
        <v>45780</v>
      </c>
      <c r="J552" s="75">
        <v>26571</v>
      </c>
      <c r="K552" s="190">
        <f t="shared" si="48"/>
        <v>58.040629095674966</v>
      </c>
      <c r="L552" s="99"/>
      <c r="M552" s="75"/>
      <c r="N552" s="75"/>
      <c r="O552" s="189"/>
      <c r="P552" s="99"/>
      <c r="Q552" s="75">
        <f t="shared" si="49"/>
        <v>45780</v>
      </c>
      <c r="R552" s="75">
        <f t="shared" si="50"/>
        <v>26571</v>
      </c>
      <c r="S552" s="188">
        <f t="shared" si="51"/>
        <v>58.040629095674966</v>
      </c>
    </row>
    <row r="553" spans="2:19" ht="12.75">
      <c r="B553" s="95">
        <f t="shared" si="52"/>
        <v>7</v>
      </c>
      <c r="C553" s="5"/>
      <c r="D553" s="5"/>
      <c r="E553" s="5"/>
      <c r="F553" s="33"/>
      <c r="G553" s="63"/>
      <c r="H553" s="66" t="s">
        <v>392</v>
      </c>
      <c r="I553" s="75">
        <f>60838-1324</f>
        <v>59514</v>
      </c>
      <c r="J553" s="75">
        <v>29979</v>
      </c>
      <c r="K553" s="190">
        <f t="shared" si="48"/>
        <v>50.373021473938906</v>
      </c>
      <c r="L553" s="99"/>
      <c r="M553" s="75"/>
      <c r="N553" s="75"/>
      <c r="O553" s="189"/>
      <c r="P553" s="99"/>
      <c r="Q553" s="75">
        <f t="shared" si="49"/>
        <v>59514</v>
      </c>
      <c r="R553" s="75">
        <f t="shared" si="50"/>
        <v>29979</v>
      </c>
      <c r="S553" s="188">
        <f t="shared" si="51"/>
        <v>50.373021473938906</v>
      </c>
    </row>
    <row r="554" spans="2:19" ht="12.75">
      <c r="B554" s="95">
        <f t="shared" si="52"/>
        <v>8</v>
      </c>
      <c r="C554" s="5"/>
      <c r="D554" s="5"/>
      <c r="E554" s="5"/>
      <c r="F554" s="33"/>
      <c r="G554" s="63"/>
      <c r="H554" s="66" t="s">
        <v>393</v>
      </c>
      <c r="I554" s="75">
        <f>37439+1474</f>
        <v>38913</v>
      </c>
      <c r="J554" s="75">
        <v>19212</v>
      </c>
      <c r="K554" s="190">
        <f t="shared" si="48"/>
        <v>49.371675275614834</v>
      </c>
      <c r="L554" s="99"/>
      <c r="M554" s="75"/>
      <c r="N554" s="75"/>
      <c r="O554" s="189"/>
      <c r="P554" s="99"/>
      <c r="Q554" s="75">
        <f t="shared" si="49"/>
        <v>38913</v>
      </c>
      <c r="R554" s="75">
        <f t="shared" si="50"/>
        <v>19212</v>
      </c>
      <c r="S554" s="188">
        <f t="shared" si="51"/>
        <v>49.371675275614834</v>
      </c>
    </row>
    <row r="555" spans="2:19" ht="12.75">
      <c r="B555" s="95">
        <f t="shared" si="52"/>
        <v>9</v>
      </c>
      <c r="C555" s="5"/>
      <c r="D555" s="5"/>
      <c r="E555" s="5"/>
      <c r="F555" s="33"/>
      <c r="G555" s="63"/>
      <c r="H555" s="66" t="s">
        <v>394</v>
      </c>
      <c r="I555" s="75">
        <f>88916-1934</f>
        <v>86982</v>
      </c>
      <c r="J555" s="75">
        <v>43815</v>
      </c>
      <c r="K555" s="190">
        <f t="shared" si="48"/>
        <v>50.37249086017796</v>
      </c>
      <c r="L555" s="99"/>
      <c r="M555" s="75"/>
      <c r="N555" s="75"/>
      <c r="O555" s="189"/>
      <c r="P555" s="99"/>
      <c r="Q555" s="75">
        <f t="shared" si="49"/>
        <v>86982</v>
      </c>
      <c r="R555" s="75">
        <f t="shared" si="50"/>
        <v>43815</v>
      </c>
      <c r="S555" s="188">
        <f t="shared" si="51"/>
        <v>50.37249086017796</v>
      </c>
    </row>
    <row r="556" spans="2:19" ht="12.75">
      <c r="B556" s="95">
        <f t="shared" si="52"/>
        <v>10</v>
      </c>
      <c r="C556" s="5"/>
      <c r="D556" s="5"/>
      <c r="E556" s="5"/>
      <c r="F556" s="33"/>
      <c r="G556" s="63"/>
      <c r="H556" s="66" t="s">
        <v>395</v>
      </c>
      <c r="I556" s="75">
        <f>107639-4634</f>
        <v>103005</v>
      </c>
      <c r="J556" s="75">
        <v>52275</v>
      </c>
      <c r="K556" s="190">
        <f t="shared" si="48"/>
        <v>50.74996359400029</v>
      </c>
      <c r="L556" s="99"/>
      <c r="M556" s="75"/>
      <c r="N556" s="75"/>
      <c r="O556" s="189"/>
      <c r="P556" s="99"/>
      <c r="Q556" s="75">
        <f t="shared" si="49"/>
        <v>103005</v>
      </c>
      <c r="R556" s="75">
        <f t="shared" si="50"/>
        <v>52275</v>
      </c>
      <c r="S556" s="188">
        <f t="shared" si="51"/>
        <v>50.74996359400029</v>
      </c>
    </row>
    <row r="557" spans="2:19" ht="12.75">
      <c r="B557" s="95">
        <f t="shared" si="52"/>
        <v>11</v>
      </c>
      <c r="C557" s="5"/>
      <c r="D557" s="5"/>
      <c r="E557" s="5"/>
      <c r="F557" s="33"/>
      <c r="G557" s="63"/>
      <c r="H557" s="66" t="s">
        <v>396</v>
      </c>
      <c r="I557" s="75">
        <f>140394-765</f>
        <v>139629</v>
      </c>
      <c r="J557" s="75">
        <v>69942</v>
      </c>
      <c r="K557" s="190">
        <f t="shared" si="48"/>
        <v>50.09131340910555</v>
      </c>
      <c r="L557" s="99"/>
      <c r="M557" s="75"/>
      <c r="N557" s="75"/>
      <c r="O557" s="189"/>
      <c r="P557" s="99"/>
      <c r="Q557" s="75">
        <f t="shared" si="49"/>
        <v>139629</v>
      </c>
      <c r="R557" s="75">
        <f t="shared" si="50"/>
        <v>69942</v>
      </c>
      <c r="S557" s="188">
        <f t="shared" si="51"/>
        <v>50.09131340910555</v>
      </c>
    </row>
    <row r="558" spans="2:19" ht="12.75">
      <c r="B558" s="95">
        <f t="shared" si="52"/>
        <v>12</v>
      </c>
      <c r="C558" s="5"/>
      <c r="D558" s="5"/>
      <c r="E558" s="5"/>
      <c r="F558" s="33"/>
      <c r="G558" s="63"/>
      <c r="H558" s="66" t="s">
        <v>397</v>
      </c>
      <c r="I558" s="75">
        <f>53818-1171</f>
        <v>52647</v>
      </c>
      <c r="J558" s="75">
        <v>26520</v>
      </c>
      <c r="K558" s="190">
        <f t="shared" si="48"/>
        <v>50.373240640492334</v>
      </c>
      <c r="L558" s="99"/>
      <c r="M558" s="75"/>
      <c r="N558" s="75"/>
      <c r="O558" s="189"/>
      <c r="P558" s="99"/>
      <c r="Q558" s="75">
        <f t="shared" si="49"/>
        <v>52647</v>
      </c>
      <c r="R558" s="75">
        <f t="shared" si="50"/>
        <v>26520</v>
      </c>
      <c r="S558" s="188">
        <f t="shared" si="51"/>
        <v>50.373240640492334</v>
      </c>
    </row>
    <row r="559" spans="2:19" ht="15">
      <c r="B559" s="95">
        <f t="shared" si="52"/>
        <v>13</v>
      </c>
      <c r="C559" s="12"/>
      <c r="D559" s="12"/>
      <c r="E559" s="12">
        <v>3</v>
      </c>
      <c r="F559" s="35"/>
      <c r="G559" s="43"/>
      <c r="H559" s="65" t="s">
        <v>12</v>
      </c>
      <c r="I559" s="82">
        <f>I560+I561+I562+I568</f>
        <v>609481</v>
      </c>
      <c r="J559" s="82">
        <f>J560+J561+J562+J568</f>
        <v>234743</v>
      </c>
      <c r="K559" s="190">
        <f t="shared" si="48"/>
        <v>38.51522853050382</v>
      </c>
      <c r="L559" s="182"/>
      <c r="M559" s="82"/>
      <c r="N559" s="82"/>
      <c r="O559" s="189"/>
      <c r="P559" s="182"/>
      <c r="Q559" s="82">
        <f t="shared" si="49"/>
        <v>609481</v>
      </c>
      <c r="R559" s="82">
        <f t="shared" si="50"/>
        <v>234743</v>
      </c>
      <c r="S559" s="188">
        <f t="shared" si="51"/>
        <v>38.51522853050382</v>
      </c>
    </row>
    <row r="560" spans="2:19" ht="12.75">
      <c r="B560" s="95">
        <f t="shared" si="52"/>
        <v>14</v>
      </c>
      <c r="C560" s="3"/>
      <c r="D560" s="3"/>
      <c r="E560" s="3"/>
      <c r="F560" s="92" t="s">
        <v>195</v>
      </c>
      <c r="G560" s="93">
        <v>610</v>
      </c>
      <c r="H560" s="3" t="s">
        <v>134</v>
      </c>
      <c r="I560" s="70">
        <v>366036</v>
      </c>
      <c r="J560" s="70">
        <v>153584</v>
      </c>
      <c r="K560" s="190">
        <f t="shared" si="48"/>
        <v>41.95871444338808</v>
      </c>
      <c r="L560" s="177"/>
      <c r="M560" s="70"/>
      <c r="N560" s="70"/>
      <c r="O560" s="189"/>
      <c r="P560" s="177"/>
      <c r="Q560" s="70">
        <f t="shared" si="49"/>
        <v>366036</v>
      </c>
      <c r="R560" s="70">
        <f t="shared" si="50"/>
        <v>153584</v>
      </c>
      <c r="S560" s="188">
        <f t="shared" si="51"/>
        <v>41.95871444338808</v>
      </c>
    </row>
    <row r="561" spans="2:19" ht="12.75">
      <c r="B561" s="95">
        <f t="shared" si="52"/>
        <v>15</v>
      </c>
      <c r="C561" s="3"/>
      <c r="D561" s="3"/>
      <c r="E561" s="3"/>
      <c r="F561" s="92" t="s">
        <v>195</v>
      </c>
      <c r="G561" s="93">
        <v>620</v>
      </c>
      <c r="H561" s="3" t="s">
        <v>128</v>
      </c>
      <c r="I561" s="70">
        <v>135131</v>
      </c>
      <c r="J561" s="70">
        <v>49345</v>
      </c>
      <c r="K561" s="190">
        <f t="shared" si="48"/>
        <v>36.51641740237251</v>
      </c>
      <c r="L561" s="177"/>
      <c r="M561" s="70"/>
      <c r="N561" s="70"/>
      <c r="O561" s="189"/>
      <c r="P561" s="177"/>
      <c r="Q561" s="70">
        <f t="shared" si="49"/>
        <v>135131</v>
      </c>
      <c r="R561" s="70">
        <f t="shared" si="50"/>
        <v>49345</v>
      </c>
      <c r="S561" s="188">
        <f t="shared" si="51"/>
        <v>36.51641740237251</v>
      </c>
    </row>
    <row r="562" spans="2:19" ht="12.75">
      <c r="B562" s="95">
        <f t="shared" si="52"/>
        <v>16</v>
      </c>
      <c r="C562" s="3"/>
      <c r="D562" s="3"/>
      <c r="E562" s="3"/>
      <c r="F562" s="92" t="s">
        <v>195</v>
      </c>
      <c r="G562" s="93">
        <v>630</v>
      </c>
      <c r="H562" s="3" t="s">
        <v>125</v>
      </c>
      <c r="I562" s="70">
        <f>SUM(I563:I567)</f>
        <v>105568</v>
      </c>
      <c r="J562" s="70">
        <f>SUM(J563:J567)</f>
        <v>31715</v>
      </c>
      <c r="K562" s="190">
        <f t="shared" si="48"/>
        <v>30.042247650803272</v>
      </c>
      <c r="L562" s="177"/>
      <c r="M562" s="70"/>
      <c r="N562" s="70"/>
      <c r="O562" s="189"/>
      <c r="P562" s="177"/>
      <c r="Q562" s="70">
        <f t="shared" si="49"/>
        <v>105568</v>
      </c>
      <c r="R562" s="70">
        <f t="shared" si="50"/>
        <v>31715</v>
      </c>
      <c r="S562" s="188">
        <f t="shared" si="51"/>
        <v>30.042247650803272</v>
      </c>
    </row>
    <row r="563" spans="2:19" ht="12.75">
      <c r="B563" s="95">
        <f t="shared" si="52"/>
        <v>17</v>
      </c>
      <c r="C563" s="4"/>
      <c r="D563" s="4"/>
      <c r="E563" s="4"/>
      <c r="F563" s="32" t="s">
        <v>195</v>
      </c>
      <c r="G563" s="41">
        <v>632</v>
      </c>
      <c r="H563" s="4" t="s">
        <v>138</v>
      </c>
      <c r="I563" s="71">
        <v>42580</v>
      </c>
      <c r="J563" s="71">
        <v>11507</v>
      </c>
      <c r="K563" s="190">
        <f t="shared" si="48"/>
        <v>27.02442461249413</v>
      </c>
      <c r="L563" s="178"/>
      <c r="M563" s="71"/>
      <c r="N563" s="71"/>
      <c r="O563" s="189"/>
      <c r="P563" s="178"/>
      <c r="Q563" s="71">
        <f t="shared" si="49"/>
        <v>42580</v>
      </c>
      <c r="R563" s="71">
        <f t="shared" si="50"/>
        <v>11507</v>
      </c>
      <c r="S563" s="188">
        <f t="shared" si="51"/>
        <v>27.02442461249413</v>
      </c>
    </row>
    <row r="564" spans="2:19" ht="12.75">
      <c r="B564" s="95">
        <f t="shared" si="52"/>
        <v>18</v>
      </c>
      <c r="C564" s="4"/>
      <c r="D564" s="4"/>
      <c r="E564" s="4"/>
      <c r="F564" s="32" t="s">
        <v>195</v>
      </c>
      <c r="G564" s="41">
        <v>633</v>
      </c>
      <c r="H564" s="4" t="s">
        <v>129</v>
      </c>
      <c r="I564" s="71">
        <f>19690-3056+4</f>
        <v>16638</v>
      </c>
      <c r="J564" s="71">
        <v>3935</v>
      </c>
      <c r="K564" s="190">
        <f t="shared" si="48"/>
        <v>23.65067916816925</v>
      </c>
      <c r="L564" s="178"/>
      <c r="M564" s="71"/>
      <c r="N564" s="71"/>
      <c r="O564" s="189"/>
      <c r="P564" s="178"/>
      <c r="Q564" s="71">
        <f t="shared" si="49"/>
        <v>16638</v>
      </c>
      <c r="R564" s="71">
        <f t="shared" si="50"/>
        <v>3935</v>
      </c>
      <c r="S564" s="188">
        <f t="shared" si="51"/>
        <v>23.65067916816925</v>
      </c>
    </row>
    <row r="565" spans="2:19" ht="12.75">
      <c r="B565" s="95">
        <f t="shared" si="52"/>
        <v>19</v>
      </c>
      <c r="C565" s="4"/>
      <c r="D565" s="4"/>
      <c r="E565" s="4"/>
      <c r="F565" s="32" t="s">
        <v>195</v>
      </c>
      <c r="G565" s="41">
        <v>635</v>
      </c>
      <c r="H565" s="4" t="s">
        <v>136</v>
      </c>
      <c r="I565" s="71">
        <v>23000</v>
      </c>
      <c r="J565" s="71">
        <v>10147</v>
      </c>
      <c r="K565" s="190">
        <f t="shared" si="48"/>
        <v>44.11739130434783</v>
      </c>
      <c r="L565" s="178"/>
      <c r="M565" s="71"/>
      <c r="N565" s="71"/>
      <c r="O565" s="189"/>
      <c r="P565" s="178"/>
      <c r="Q565" s="71">
        <f t="shared" si="49"/>
        <v>23000</v>
      </c>
      <c r="R565" s="71">
        <f t="shared" si="50"/>
        <v>10147</v>
      </c>
      <c r="S565" s="188">
        <f t="shared" si="51"/>
        <v>44.11739130434783</v>
      </c>
    </row>
    <row r="566" spans="2:19" ht="12.75">
      <c r="B566" s="95">
        <f t="shared" si="52"/>
        <v>20</v>
      </c>
      <c r="C566" s="4"/>
      <c r="D566" s="4"/>
      <c r="E566" s="4"/>
      <c r="F566" s="32" t="s">
        <v>195</v>
      </c>
      <c r="G566" s="41">
        <v>636</v>
      </c>
      <c r="H566" s="4" t="s">
        <v>130</v>
      </c>
      <c r="I566" s="71">
        <v>7300</v>
      </c>
      <c r="J566" s="71">
        <v>1369</v>
      </c>
      <c r="K566" s="190">
        <f t="shared" si="48"/>
        <v>18.753424657534246</v>
      </c>
      <c r="L566" s="178"/>
      <c r="M566" s="71"/>
      <c r="N566" s="71"/>
      <c r="O566" s="189"/>
      <c r="P566" s="178"/>
      <c r="Q566" s="71">
        <f t="shared" si="49"/>
        <v>7300</v>
      </c>
      <c r="R566" s="71">
        <f t="shared" si="50"/>
        <v>1369</v>
      </c>
      <c r="S566" s="188">
        <f t="shared" si="51"/>
        <v>18.753424657534246</v>
      </c>
    </row>
    <row r="567" spans="2:19" ht="12.75">
      <c r="B567" s="95">
        <f t="shared" si="52"/>
        <v>21</v>
      </c>
      <c r="C567" s="4"/>
      <c r="D567" s="4"/>
      <c r="E567" s="4"/>
      <c r="F567" s="32" t="s">
        <v>195</v>
      </c>
      <c r="G567" s="41">
        <v>637</v>
      </c>
      <c r="H567" s="4" t="s">
        <v>126</v>
      </c>
      <c r="I567" s="71">
        <v>16050</v>
      </c>
      <c r="J567" s="71">
        <v>4757</v>
      </c>
      <c r="K567" s="190">
        <f t="shared" si="48"/>
        <v>29.6386292834891</v>
      </c>
      <c r="L567" s="178"/>
      <c r="M567" s="71"/>
      <c r="N567" s="71"/>
      <c r="O567" s="189"/>
      <c r="P567" s="178"/>
      <c r="Q567" s="71">
        <f t="shared" si="49"/>
        <v>16050</v>
      </c>
      <c r="R567" s="71">
        <f t="shared" si="50"/>
        <v>4757</v>
      </c>
      <c r="S567" s="188">
        <f t="shared" si="51"/>
        <v>29.6386292834891</v>
      </c>
    </row>
    <row r="568" spans="2:19" ht="12.75">
      <c r="B568" s="95">
        <f t="shared" si="52"/>
        <v>22</v>
      </c>
      <c r="C568" s="3"/>
      <c r="D568" s="3"/>
      <c r="E568" s="3"/>
      <c r="F568" s="92" t="s">
        <v>195</v>
      </c>
      <c r="G568" s="93">
        <v>640</v>
      </c>
      <c r="H568" s="3" t="s">
        <v>132</v>
      </c>
      <c r="I568" s="70">
        <v>2746</v>
      </c>
      <c r="J568" s="70">
        <v>99</v>
      </c>
      <c r="K568" s="190">
        <f t="shared" si="48"/>
        <v>3.6052439912600147</v>
      </c>
      <c r="L568" s="177"/>
      <c r="M568" s="70"/>
      <c r="N568" s="70"/>
      <c r="O568" s="189"/>
      <c r="P568" s="177"/>
      <c r="Q568" s="70">
        <f t="shared" si="49"/>
        <v>2746</v>
      </c>
      <c r="R568" s="70">
        <f t="shared" si="50"/>
        <v>99</v>
      </c>
      <c r="S568" s="188">
        <f t="shared" si="51"/>
        <v>3.6052439912600147</v>
      </c>
    </row>
    <row r="569" spans="2:19" ht="15">
      <c r="B569" s="95">
        <f t="shared" si="52"/>
        <v>23</v>
      </c>
      <c r="C569" s="12"/>
      <c r="D569" s="12"/>
      <c r="E569" s="12">
        <v>4</v>
      </c>
      <c r="F569" s="35"/>
      <c r="G569" s="43"/>
      <c r="H569" s="12" t="s">
        <v>82</v>
      </c>
      <c r="I569" s="82">
        <f>I570+I574+I583+I592+I600+I608+I617+I626+I635+I644+I653+I661+I670+I679+I687+I697+I573</f>
        <v>3948947</v>
      </c>
      <c r="J569" s="82">
        <f>J570+J574+J583+J592+J600+J608+J617+J626+J635+J644+J653+J661+J670+J679+J687+J697+J573</f>
        <v>1533877</v>
      </c>
      <c r="K569" s="190">
        <f t="shared" si="48"/>
        <v>38.842683885096456</v>
      </c>
      <c r="L569" s="182"/>
      <c r="M569" s="82"/>
      <c r="N569" s="82"/>
      <c r="O569" s="189"/>
      <c r="P569" s="182"/>
      <c r="Q569" s="82">
        <f t="shared" si="49"/>
        <v>3948947</v>
      </c>
      <c r="R569" s="82">
        <f t="shared" si="50"/>
        <v>1533877</v>
      </c>
      <c r="S569" s="188">
        <f t="shared" si="51"/>
        <v>38.842683885096456</v>
      </c>
    </row>
    <row r="570" spans="2:19" ht="12.75">
      <c r="B570" s="95">
        <f t="shared" si="52"/>
        <v>24</v>
      </c>
      <c r="C570" s="3"/>
      <c r="D570" s="3"/>
      <c r="E570" s="3"/>
      <c r="F570" s="92" t="s">
        <v>195</v>
      </c>
      <c r="G570" s="93">
        <v>630</v>
      </c>
      <c r="H570" s="3" t="s">
        <v>125</v>
      </c>
      <c r="I570" s="70">
        <f>I571+I572</f>
        <v>32600</v>
      </c>
      <c r="J570" s="70">
        <f>J571+J572</f>
        <v>0</v>
      </c>
      <c r="K570" s="190">
        <f t="shared" si="48"/>
        <v>0</v>
      </c>
      <c r="L570" s="177"/>
      <c r="M570" s="70"/>
      <c r="N570" s="70"/>
      <c r="O570" s="189"/>
      <c r="P570" s="177"/>
      <c r="Q570" s="70">
        <f t="shared" si="49"/>
        <v>32600</v>
      </c>
      <c r="R570" s="70">
        <f t="shared" si="50"/>
        <v>0</v>
      </c>
      <c r="S570" s="188">
        <f t="shared" si="51"/>
        <v>0</v>
      </c>
    </row>
    <row r="571" spans="2:19" ht="12.75">
      <c r="B571" s="95">
        <f t="shared" si="52"/>
        <v>25</v>
      </c>
      <c r="C571" s="4"/>
      <c r="D571" s="4"/>
      <c r="E571" s="4"/>
      <c r="F571" s="32" t="s">
        <v>195</v>
      </c>
      <c r="G571" s="41">
        <v>635</v>
      </c>
      <c r="H571" s="4" t="s">
        <v>136</v>
      </c>
      <c r="I571" s="71">
        <v>30000</v>
      </c>
      <c r="J571" s="71"/>
      <c r="K571" s="190">
        <f t="shared" si="48"/>
        <v>0</v>
      </c>
      <c r="L571" s="178"/>
      <c r="M571" s="71"/>
      <c r="N571" s="71"/>
      <c r="O571" s="189"/>
      <c r="P571" s="178"/>
      <c r="Q571" s="71">
        <f t="shared" si="49"/>
        <v>30000</v>
      </c>
      <c r="R571" s="71">
        <f t="shared" si="50"/>
        <v>0</v>
      </c>
      <c r="S571" s="188">
        <f t="shared" si="51"/>
        <v>0</v>
      </c>
    </row>
    <row r="572" spans="2:19" ht="12.75">
      <c r="B572" s="95">
        <f t="shared" si="52"/>
        <v>26</v>
      </c>
      <c r="C572" s="4"/>
      <c r="D572" s="4"/>
      <c r="E572" s="4"/>
      <c r="F572" s="32" t="s">
        <v>195</v>
      </c>
      <c r="G572" s="41">
        <v>637</v>
      </c>
      <c r="H572" s="4" t="s">
        <v>126</v>
      </c>
      <c r="I572" s="71">
        <v>2600</v>
      </c>
      <c r="J572" s="71"/>
      <c r="K572" s="190">
        <f t="shared" si="48"/>
        <v>0</v>
      </c>
      <c r="L572" s="178"/>
      <c r="M572" s="71"/>
      <c r="N572" s="71"/>
      <c r="O572" s="189"/>
      <c r="P572" s="178"/>
      <c r="Q572" s="71">
        <f t="shared" si="49"/>
        <v>2600</v>
      </c>
      <c r="R572" s="71">
        <f t="shared" si="50"/>
        <v>0</v>
      </c>
      <c r="S572" s="188">
        <f t="shared" si="51"/>
        <v>0</v>
      </c>
    </row>
    <row r="573" spans="2:19" ht="12.75">
      <c r="B573" s="95">
        <f t="shared" si="52"/>
        <v>27</v>
      </c>
      <c r="C573" s="4"/>
      <c r="D573" s="4"/>
      <c r="E573" s="4"/>
      <c r="F573" s="92" t="s">
        <v>195</v>
      </c>
      <c r="G573" s="93">
        <v>630</v>
      </c>
      <c r="H573" s="3" t="s">
        <v>545</v>
      </c>
      <c r="I573" s="70">
        <v>1668</v>
      </c>
      <c r="J573" s="70">
        <v>1668</v>
      </c>
      <c r="K573" s="190">
        <f t="shared" si="48"/>
        <v>100</v>
      </c>
      <c r="L573" s="177"/>
      <c r="M573" s="70"/>
      <c r="N573" s="70"/>
      <c r="O573" s="189"/>
      <c r="P573" s="177"/>
      <c r="Q573" s="70">
        <f>M573+I573</f>
        <v>1668</v>
      </c>
      <c r="R573" s="70">
        <f t="shared" si="50"/>
        <v>1668</v>
      </c>
      <c r="S573" s="188">
        <f t="shared" si="51"/>
        <v>100</v>
      </c>
    </row>
    <row r="574" spans="2:19" ht="12.75">
      <c r="B574" s="95">
        <f t="shared" si="52"/>
        <v>28</v>
      </c>
      <c r="C574" s="8"/>
      <c r="D574" s="8"/>
      <c r="E574" s="8" t="s">
        <v>92</v>
      </c>
      <c r="F574" s="37"/>
      <c r="G574" s="45"/>
      <c r="H574" s="8" t="s">
        <v>62</v>
      </c>
      <c r="I574" s="85">
        <f>I575+I576+I577+I582</f>
        <v>187846</v>
      </c>
      <c r="J574" s="85">
        <f>J575+J576+J577+J582</f>
        <v>73396</v>
      </c>
      <c r="K574" s="190">
        <f t="shared" si="48"/>
        <v>39.07243167275321</v>
      </c>
      <c r="L574" s="177"/>
      <c r="M574" s="85"/>
      <c r="N574" s="85"/>
      <c r="O574" s="189"/>
      <c r="P574" s="177"/>
      <c r="Q574" s="85">
        <f t="shared" si="49"/>
        <v>187846</v>
      </c>
      <c r="R574" s="85">
        <f t="shared" si="50"/>
        <v>73396</v>
      </c>
      <c r="S574" s="188">
        <f t="shared" si="51"/>
        <v>39.07243167275321</v>
      </c>
    </row>
    <row r="575" spans="2:19" ht="12.75">
      <c r="B575" s="95">
        <f t="shared" si="52"/>
        <v>29</v>
      </c>
      <c r="C575" s="3"/>
      <c r="D575" s="3"/>
      <c r="E575" s="3"/>
      <c r="F575" s="92" t="s">
        <v>195</v>
      </c>
      <c r="G575" s="93">
        <v>610</v>
      </c>
      <c r="H575" s="3" t="s">
        <v>134</v>
      </c>
      <c r="I575" s="70">
        <v>111493</v>
      </c>
      <c r="J575" s="70">
        <v>45986</v>
      </c>
      <c r="K575" s="190">
        <f t="shared" si="48"/>
        <v>41.24563873965182</v>
      </c>
      <c r="L575" s="177"/>
      <c r="M575" s="70"/>
      <c r="N575" s="70"/>
      <c r="O575" s="189"/>
      <c r="P575" s="177"/>
      <c r="Q575" s="70">
        <f t="shared" si="49"/>
        <v>111493</v>
      </c>
      <c r="R575" s="70">
        <f t="shared" si="50"/>
        <v>45986</v>
      </c>
      <c r="S575" s="188">
        <f t="shared" si="51"/>
        <v>41.24563873965182</v>
      </c>
    </row>
    <row r="576" spans="2:19" ht="12.75">
      <c r="B576" s="95">
        <f t="shared" si="52"/>
        <v>30</v>
      </c>
      <c r="C576" s="3"/>
      <c r="D576" s="3"/>
      <c r="E576" s="3"/>
      <c r="F576" s="92" t="s">
        <v>195</v>
      </c>
      <c r="G576" s="93">
        <v>620</v>
      </c>
      <c r="H576" s="3" t="s">
        <v>128</v>
      </c>
      <c r="I576" s="70">
        <v>41197</v>
      </c>
      <c r="J576" s="70">
        <v>16483</v>
      </c>
      <c r="K576" s="190">
        <f t="shared" si="48"/>
        <v>40.010194917105615</v>
      </c>
      <c r="L576" s="177"/>
      <c r="M576" s="70"/>
      <c r="N576" s="70"/>
      <c r="O576" s="189"/>
      <c r="P576" s="177"/>
      <c r="Q576" s="70">
        <f t="shared" si="49"/>
        <v>41197</v>
      </c>
      <c r="R576" s="70">
        <f t="shared" si="50"/>
        <v>16483</v>
      </c>
      <c r="S576" s="188">
        <f t="shared" si="51"/>
        <v>40.010194917105615</v>
      </c>
    </row>
    <row r="577" spans="2:19" ht="12.75">
      <c r="B577" s="95">
        <f t="shared" si="52"/>
        <v>31</v>
      </c>
      <c r="C577" s="3"/>
      <c r="D577" s="3"/>
      <c r="E577" s="3"/>
      <c r="F577" s="92" t="s">
        <v>195</v>
      </c>
      <c r="G577" s="93">
        <v>630</v>
      </c>
      <c r="H577" s="3" t="s">
        <v>125</v>
      </c>
      <c r="I577" s="70">
        <f>SUM(I578:I581)</f>
        <v>30463</v>
      </c>
      <c r="J577" s="70">
        <f>SUM(J578:J581)</f>
        <v>10822</v>
      </c>
      <c r="K577" s="190">
        <f t="shared" si="48"/>
        <v>35.52506319141253</v>
      </c>
      <c r="L577" s="177"/>
      <c r="M577" s="70"/>
      <c r="N577" s="70"/>
      <c r="O577" s="189"/>
      <c r="P577" s="177"/>
      <c r="Q577" s="70">
        <f t="shared" si="49"/>
        <v>30463</v>
      </c>
      <c r="R577" s="70">
        <f t="shared" si="50"/>
        <v>10822</v>
      </c>
      <c r="S577" s="188">
        <f t="shared" si="51"/>
        <v>35.52506319141253</v>
      </c>
    </row>
    <row r="578" spans="2:19" ht="12.75">
      <c r="B578" s="95">
        <f t="shared" si="52"/>
        <v>32</v>
      </c>
      <c r="C578" s="4"/>
      <c r="D578" s="4"/>
      <c r="E578" s="4"/>
      <c r="F578" s="32" t="s">
        <v>195</v>
      </c>
      <c r="G578" s="41">
        <v>632</v>
      </c>
      <c r="H578" s="4" t="s">
        <v>138</v>
      </c>
      <c r="I578" s="71">
        <v>15235</v>
      </c>
      <c r="J578" s="71">
        <v>7019</v>
      </c>
      <c r="K578" s="190">
        <f t="shared" si="48"/>
        <v>46.07154578273712</v>
      </c>
      <c r="L578" s="178"/>
      <c r="M578" s="71"/>
      <c r="N578" s="71"/>
      <c r="O578" s="189"/>
      <c r="P578" s="178"/>
      <c r="Q578" s="71">
        <f t="shared" si="49"/>
        <v>15235</v>
      </c>
      <c r="R578" s="71">
        <f t="shared" si="50"/>
        <v>7019</v>
      </c>
      <c r="S578" s="188">
        <f t="shared" si="51"/>
        <v>46.07154578273712</v>
      </c>
    </row>
    <row r="579" spans="2:19" ht="12.75">
      <c r="B579" s="95">
        <f t="shared" si="52"/>
        <v>33</v>
      </c>
      <c r="C579" s="4"/>
      <c r="D579" s="4"/>
      <c r="E579" s="4"/>
      <c r="F579" s="32" t="s">
        <v>195</v>
      </c>
      <c r="G579" s="41">
        <v>633</v>
      </c>
      <c r="H579" s="4" t="s">
        <v>129</v>
      </c>
      <c r="I579" s="71">
        <f>9518-1056+1</f>
        <v>8463</v>
      </c>
      <c r="J579" s="71">
        <v>2485</v>
      </c>
      <c r="K579" s="190">
        <f t="shared" si="48"/>
        <v>29.3631100082713</v>
      </c>
      <c r="L579" s="178"/>
      <c r="M579" s="71"/>
      <c r="N579" s="71"/>
      <c r="O579" s="189"/>
      <c r="P579" s="178"/>
      <c r="Q579" s="71">
        <f t="shared" si="49"/>
        <v>8463</v>
      </c>
      <c r="R579" s="71">
        <f t="shared" si="50"/>
        <v>2485</v>
      </c>
      <c r="S579" s="188">
        <f t="shared" si="51"/>
        <v>29.3631100082713</v>
      </c>
    </row>
    <row r="580" spans="2:19" ht="12.75">
      <c r="B580" s="95">
        <f t="shared" si="52"/>
        <v>34</v>
      </c>
      <c r="C580" s="4"/>
      <c r="D580" s="4"/>
      <c r="E580" s="4"/>
      <c r="F580" s="32" t="s">
        <v>195</v>
      </c>
      <c r="G580" s="41">
        <v>635</v>
      </c>
      <c r="H580" s="4" t="s">
        <v>136</v>
      </c>
      <c r="I580" s="71">
        <v>3300</v>
      </c>
      <c r="J580" s="71">
        <v>531</v>
      </c>
      <c r="K580" s="190">
        <f t="shared" si="48"/>
        <v>16.090909090909093</v>
      </c>
      <c r="L580" s="178"/>
      <c r="M580" s="71"/>
      <c r="N580" s="71"/>
      <c r="O580" s="189"/>
      <c r="P580" s="178"/>
      <c r="Q580" s="71">
        <f t="shared" si="49"/>
        <v>3300</v>
      </c>
      <c r="R580" s="71">
        <f t="shared" si="50"/>
        <v>531</v>
      </c>
      <c r="S580" s="188">
        <f t="shared" si="51"/>
        <v>16.090909090909093</v>
      </c>
    </row>
    <row r="581" spans="2:19" ht="12.75">
      <c r="B581" s="95">
        <f t="shared" si="52"/>
        <v>35</v>
      </c>
      <c r="C581" s="4"/>
      <c r="D581" s="4"/>
      <c r="E581" s="4"/>
      <c r="F581" s="32" t="s">
        <v>195</v>
      </c>
      <c r="G581" s="41">
        <v>637</v>
      </c>
      <c r="H581" s="4" t="s">
        <v>126</v>
      </c>
      <c r="I581" s="71">
        <v>3465</v>
      </c>
      <c r="J581" s="71">
        <v>787</v>
      </c>
      <c r="K581" s="190">
        <f t="shared" si="48"/>
        <v>22.71284271284271</v>
      </c>
      <c r="L581" s="178"/>
      <c r="M581" s="71"/>
      <c r="N581" s="71"/>
      <c r="O581" s="189"/>
      <c r="P581" s="178"/>
      <c r="Q581" s="71">
        <f t="shared" si="49"/>
        <v>3465</v>
      </c>
      <c r="R581" s="71">
        <f t="shared" si="50"/>
        <v>787</v>
      </c>
      <c r="S581" s="188">
        <f t="shared" si="51"/>
        <v>22.71284271284271</v>
      </c>
    </row>
    <row r="582" spans="2:19" ht="12.75">
      <c r="B582" s="95">
        <f t="shared" si="52"/>
        <v>36</v>
      </c>
      <c r="C582" s="3"/>
      <c r="D582" s="3"/>
      <c r="E582" s="3"/>
      <c r="F582" s="92" t="s">
        <v>195</v>
      </c>
      <c r="G582" s="93">
        <v>640</v>
      </c>
      <c r="H582" s="3" t="s">
        <v>132</v>
      </c>
      <c r="I582" s="70">
        <v>4693</v>
      </c>
      <c r="J582" s="70">
        <v>105</v>
      </c>
      <c r="K582" s="190">
        <f t="shared" si="48"/>
        <v>2.237374813552099</v>
      </c>
      <c r="L582" s="177"/>
      <c r="M582" s="70"/>
      <c r="N582" s="70"/>
      <c r="O582" s="189"/>
      <c r="P582" s="177"/>
      <c r="Q582" s="70">
        <f t="shared" si="49"/>
        <v>4693</v>
      </c>
      <c r="R582" s="70">
        <f t="shared" si="50"/>
        <v>105</v>
      </c>
      <c r="S582" s="188">
        <f t="shared" si="51"/>
        <v>2.237374813552099</v>
      </c>
    </row>
    <row r="583" spans="2:19" ht="12.75">
      <c r="B583" s="95">
        <f t="shared" si="52"/>
        <v>37</v>
      </c>
      <c r="C583" s="8"/>
      <c r="D583" s="8"/>
      <c r="E583" s="8" t="s">
        <v>91</v>
      </c>
      <c r="F583" s="37"/>
      <c r="G583" s="45"/>
      <c r="H583" s="8" t="s">
        <v>235</v>
      </c>
      <c r="I583" s="85">
        <f>I584+I585+I586+I591</f>
        <v>348582</v>
      </c>
      <c r="J583" s="85">
        <f>J584+J585+J586+J591</f>
        <v>136314</v>
      </c>
      <c r="K583" s="190">
        <f t="shared" si="48"/>
        <v>39.105289429746804</v>
      </c>
      <c r="L583" s="177"/>
      <c r="M583" s="85"/>
      <c r="N583" s="85"/>
      <c r="O583" s="189"/>
      <c r="P583" s="177"/>
      <c r="Q583" s="85">
        <f t="shared" si="49"/>
        <v>348582</v>
      </c>
      <c r="R583" s="85">
        <f t="shared" si="50"/>
        <v>136314</v>
      </c>
      <c r="S583" s="188">
        <f t="shared" si="51"/>
        <v>39.105289429746804</v>
      </c>
    </row>
    <row r="584" spans="2:19" ht="12.75">
      <c r="B584" s="95">
        <f t="shared" si="52"/>
        <v>38</v>
      </c>
      <c r="C584" s="3"/>
      <c r="D584" s="3"/>
      <c r="E584" s="3"/>
      <c r="F584" s="92" t="s">
        <v>195</v>
      </c>
      <c r="G584" s="93">
        <v>610</v>
      </c>
      <c r="H584" s="3" t="s">
        <v>134</v>
      </c>
      <c r="I584" s="70">
        <f>212574+50</f>
        <v>212624</v>
      </c>
      <c r="J584" s="70">
        <v>87553</v>
      </c>
      <c r="K584" s="190">
        <f t="shared" si="48"/>
        <v>41.17738355030476</v>
      </c>
      <c r="L584" s="177"/>
      <c r="M584" s="70"/>
      <c r="N584" s="70"/>
      <c r="O584" s="189"/>
      <c r="P584" s="177"/>
      <c r="Q584" s="70">
        <f t="shared" si="49"/>
        <v>212624</v>
      </c>
      <c r="R584" s="70">
        <f t="shared" si="50"/>
        <v>87553</v>
      </c>
      <c r="S584" s="188">
        <f t="shared" si="51"/>
        <v>41.17738355030476</v>
      </c>
    </row>
    <row r="585" spans="2:19" ht="12.75">
      <c r="B585" s="95">
        <f t="shared" si="52"/>
        <v>39</v>
      </c>
      <c r="C585" s="3"/>
      <c r="D585" s="3"/>
      <c r="E585" s="3"/>
      <c r="F585" s="92" t="s">
        <v>195</v>
      </c>
      <c r="G585" s="93">
        <v>620</v>
      </c>
      <c r="H585" s="3" t="s">
        <v>128</v>
      </c>
      <c r="I585" s="70">
        <f>78546+10</f>
        <v>78556</v>
      </c>
      <c r="J585" s="70">
        <v>30583</v>
      </c>
      <c r="K585" s="190">
        <f t="shared" si="48"/>
        <v>38.93146290544325</v>
      </c>
      <c r="L585" s="177"/>
      <c r="M585" s="70"/>
      <c r="N585" s="70"/>
      <c r="O585" s="189"/>
      <c r="P585" s="177"/>
      <c r="Q585" s="70">
        <f t="shared" si="49"/>
        <v>78556</v>
      </c>
      <c r="R585" s="70">
        <f t="shared" si="50"/>
        <v>30583</v>
      </c>
      <c r="S585" s="188">
        <f t="shared" si="51"/>
        <v>38.93146290544325</v>
      </c>
    </row>
    <row r="586" spans="2:19" ht="12.75">
      <c r="B586" s="95">
        <f t="shared" si="52"/>
        <v>40</v>
      </c>
      <c r="C586" s="3"/>
      <c r="D586" s="3"/>
      <c r="E586" s="3"/>
      <c r="F586" s="92" t="s">
        <v>195</v>
      </c>
      <c r="G586" s="93">
        <v>630</v>
      </c>
      <c r="H586" s="3" t="s">
        <v>125</v>
      </c>
      <c r="I586" s="70">
        <f>SUM(I587:I590)</f>
        <v>47065</v>
      </c>
      <c r="J586" s="70">
        <f>SUM(J587:J590)</f>
        <v>18030</v>
      </c>
      <c r="K586" s="190">
        <f t="shared" si="48"/>
        <v>38.308721980240094</v>
      </c>
      <c r="L586" s="177"/>
      <c r="M586" s="70"/>
      <c r="N586" s="70"/>
      <c r="O586" s="189"/>
      <c r="P586" s="177"/>
      <c r="Q586" s="70">
        <f t="shared" si="49"/>
        <v>47065</v>
      </c>
      <c r="R586" s="70">
        <f t="shared" si="50"/>
        <v>18030</v>
      </c>
      <c r="S586" s="188">
        <f t="shared" si="51"/>
        <v>38.308721980240094</v>
      </c>
    </row>
    <row r="587" spans="2:19" ht="12.75">
      <c r="B587" s="95">
        <f t="shared" si="52"/>
        <v>41</v>
      </c>
      <c r="C587" s="4"/>
      <c r="D587" s="4"/>
      <c r="E587" s="4"/>
      <c r="F587" s="32" t="s">
        <v>195</v>
      </c>
      <c r="G587" s="41">
        <v>632</v>
      </c>
      <c r="H587" s="4" t="s">
        <v>138</v>
      </c>
      <c r="I587" s="71">
        <v>26345</v>
      </c>
      <c r="J587" s="71">
        <v>11844</v>
      </c>
      <c r="K587" s="190">
        <f t="shared" si="48"/>
        <v>44.95729739988612</v>
      </c>
      <c r="L587" s="178"/>
      <c r="M587" s="71"/>
      <c r="N587" s="71"/>
      <c r="O587" s="189"/>
      <c r="P587" s="178"/>
      <c r="Q587" s="71">
        <f t="shared" si="49"/>
        <v>26345</v>
      </c>
      <c r="R587" s="71">
        <f t="shared" si="50"/>
        <v>11844</v>
      </c>
      <c r="S587" s="188">
        <f t="shared" si="51"/>
        <v>44.95729739988612</v>
      </c>
    </row>
    <row r="588" spans="2:19" ht="12.75">
      <c r="B588" s="95">
        <f t="shared" si="52"/>
        <v>42</v>
      </c>
      <c r="C588" s="4"/>
      <c r="D588" s="4"/>
      <c r="E588" s="4"/>
      <c r="F588" s="32" t="s">
        <v>195</v>
      </c>
      <c r="G588" s="41">
        <v>633</v>
      </c>
      <c r="H588" s="4" t="s">
        <v>129</v>
      </c>
      <c r="I588" s="71">
        <f>14666-1888-343</f>
        <v>12435</v>
      </c>
      <c r="J588" s="71">
        <v>2051</v>
      </c>
      <c r="K588" s="190">
        <f t="shared" si="48"/>
        <v>16.493767591475674</v>
      </c>
      <c r="L588" s="178"/>
      <c r="M588" s="71"/>
      <c r="N588" s="71"/>
      <c r="O588" s="189"/>
      <c r="P588" s="178"/>
      <c r="Q588" s="71">
        <f t="shared" si="49"/>
        <v>12435</v>
      </c>
      <c r="R588" s="71">
        <f t="shared" si="50"/>
        <v>2051</v>
      </c>
      <c r="S588" s="188">
        <f t="shared" si="51"/>
        <v>16.493767591475674</v>
      </c>
    </row>
    <row r="589" spans="2:19" ht="12.75">
      <c r="B589" s="95">
        <f t="shared" si="52"/>
        <v>43</v>
      </c>
      <c r="C589" s="4"/>
      <c r="D589" s="4"/>
      <c r="E589" s="4"/>
      <c r="F589" s="32" t="s">
        <v>195</v>
      </c>
      <c r="G589" s="41">
        <v>635</v>
      </c>
      <c r="H589" s="4" t="s">
        <v>136</v>
      </c>
      <c r="I589" s="71">
        <v>2000</v>
      </c>
      <c r="J589" s="71">
        <v>2218</v>
      </c>
      <c r="K589" s="190">
        <f t="shared" si="48"/>
        <v>110.9</v>
      </c>
      <c r="L589" s="178"/>
      <c r="M589" s="71"/>
      <c r="N589" s="71"/>
      <c r="O589" s="189"/>
      <c r="P589" s="178"/>
      <c r="Q589" s="71">
        <f t="shared" si="49"/>
        <v>2000</v>
      </c>
      <c r="R589" s="71">
        <f t="shared" si="50"/>
        <v>2218</v>
      </c>
      <c r="S589" s="188">
        <f t="shared" si="51"/>
        <v>110.9</v>
      </c>
    </row>
    <row r="590" spans="2:19" ht="12.75">
      <c r="B590" s="95">
        <f t="shared" si="52"/>
        <v>44</v>
      </c>
      <c r="C590" s="4"/>
      <c r="D590" s="4"/>
      <c r="E590" s="4"/>
      <c r="F590" s="32" t="s">
        <v>195</v>
      </c>
      <c r="G590" s="41">
        <v>637</v>
      </c>
      <c r="H590" s="4" t="s">
        <v>126</v>
      </c>
      <c r="I590" s="71">
        <v>6285</v>
      </c>
      <c r="J590" s="71">
        <v>1917</v>
      </c>
      <c r="K590" s="190">
        <f t="shared" si="48"/>
        <v>30.501193317422437</v>
      </c>
      <c r="L590" s="178"/>
      <c r="M590" s="71"/>
      <c r="N590" s="71"/>
      <c r="O590" s="189"/>
      <c r="P590" s="178"/>
      <c r="Q590" s="71">
        <f t="shared" si="49"/>
        <v>6285</v>
      </c>
      <c r="R590" s="71">
        <f t="shared" si="50"/>
        <v>1917</v>
      </c>
      <c r="S590" s="188">
        <f t="shared" si="51"/>
        <v>30.501193317422437</v>
      </c>
    </row>
    <row r="591" spans="2:19" ht="12.75">
      <c r="B591" s="95">
        <f t="shared" si="52"/>
        <v>45</v>
      </c>
      <c r="C591" s="3"/>
      <c r="D591" s="3"/>
      <c r="E591" s="3"/>
      <c r="F591" s="92" t="s">
        <v>195</v>
      </c>
      <c r="G591" s="93">
        <v>640</v>
      </c>
      <c r="H591" s="3" t="s">
        <v>132</v>
      </c>
      <c r="I591" s="70">
        <v>10337</v>
      </c>
      <c r="J591" s="70">
        <v>148</v>
      </c>
      <c r="K591" s="190">
        <f t="shared" si="48"/>
        <v>1.4317500241849666</v>
      </c>
      <c r="L591" s="177"/>
      <c r="M591" s="70"/>
      <c r="N591" s="70"/>
      <c r="O591" s="189"/>
      <c r="P591" s="177"/>
      <c r="Q591" s="70">
        <f t="shared" si="49"/>
        <v>10337</v>
      </c>
      <c r="R591" s="70">
        <f t="shared" si="50"/>
        <v>148</v>
      </c>
      <c r="S591" s="188">
        <f t="shared" si="51"/>
        <v>1.4317500241849666</v>
      </c>
    </row>
    <row r="592" spans="2:19" ht="12.75">
      <c r="B592" s="95">
        <f t="shared" si="52"/>
        <v>46</v>
      </c>
      <c r="C592" s="8"/>
      <c r="D592" s="8"/>
      <c r="E592" s="8" t="s">
        <v>85</v>
      </c>
      <c r="F592" s="37"/>
      <c r="G592" s="45"/>
      <c r="H592" s="8" t="s">
        <v>61</v>
      </c>
      <c r="I592" s="85">
        <f>I593+I594+I595</f>
        <v>190254</v>
      </c>
      <c r="J592" s="85">
        <f>J593+J594+J595</f>
        <v>77804</v>
      </c>
      <c r="K592" s="190">
        <f t="shared" si="48"/>
        <v>40.89480378861943</v>
      </c>
      <c r="L592" s="177"/>
      <c r="M592" s="85"/>
      <c r="N592" s="85"/>
      <c r="O592" s="189"/>
      <c r="P592" s="177"/>
      <c r="Q592" s="85">
        <f t="shared" si="49"/>
        <v>190254</v>
      </c>
      <c r="R592" s="85">
        <f t="shared" si="50"/>
        <v>77804</v>
      </c>
      <c r="S592" s="188">
        <f t="shared" si="51"/>
        <v>40.89480378861943</v>
      </c>
    </row>
    <row r="593" spans="2:19" ht="12.75">
      <c r="B593" s="95">
        <f t="shared" si="52"/>
        <v>47</v>
      </c>
      <c r="C593" s="3"/>
      <c r="D593" s="3"/>
      <c r="E593" s="3"/>
      <c r="F593" s="92" t="s">
        <v>195</v>
      </c>
      <c r="G593" s="93">
        <v>610</v>
      </c>
      <c r="H593" s="3" t="s">
        <v>134</v>
      </c>
      <c r="I593" s="70">
        <v>110764</v>
      </c>
      <c r="J593" s="70">
        <v>48554</v>
      </c>
      <c r="K593" s="190">
        <f t="shared" si="48"/>
        <v>43.835542233938824</v>
      </c>
      <c r="L593" s="177"/>
      <c r="M593" s="70"/>
      <c r="N593" s="70"/>
      <c r="O593" s="189"/>
      <c r="P593" s="177"/>
      <c r="Q593" s="70">
        <f t="shared" si="49"/>
        <v>110764</v>
      </c>
      <c r="R593" s="70">
        <f t="shared" si="50"/>
        <v>48554</v>
      </c>
      <c r="S593" s="188">
        <f t="shared" si="51"/>
        <v>43.835542233938824</v>
      </c>
    </row>
    <row r="594" spans="2:19" ht="12.75">
      <c r="B594" s="95">
        <f t="shared" si="52"/>
        <v>48</v>
      </c>
      <c r="C594" s="3"/>
      <c r="D594" s="3"/>
      <c r="E594" s="3"/>
      <c r="F594" s="92" t="s">
        <v>195</v>
      </c>
      <c r="G594" s="93">
        <v>620</v>
      </c>
      <c r="H594" s="3" t="s">
        <v>128</v>
      </c>
      <c r="I594" s="70">
        <v>40927</v>
      </c>
      <c r="J594" s="70">
        <v>17832</v>
      </c>
      <c r="K594" s="190">
        <f t="shared" si="48"/>
        <v>43.57025924206514</v>
      </c>
      <c r="L594" s="177"/>
      <c r="M594" s="70"/>
      <c r="N594" s="70"/>
      <c r="O594" s="189"/>
      <c r="P594" s="177"/>
      <c r="Q594" s="70">
        <f t="shared" si="49"/>
        <v>40927</v>
      </c>
      <c r="R594" s="70">
        <f t="shared" si="50"/>
        <v>17832</v>
      </c>
      <c r="S594" s="188">
        <f t="shared" si="51"/>
        <v>43.57025924206514</v>
      </c>
    </row>
    <row r="595" spans="2:19" ht="12.75">
      <c r="B595" s="95">
        <f t="shared" si="52"/>
        <v>49</v>
      </c>
      <c r="C595" s="3"/>
      <c r="D595" s="3"/>
      <c r="E595" s="3"/>
      <c r="F595" s="92" t="s">
        <v>195</v>
      </c>
      <c r="G595" s="93">
        <v>630</v>
      </c>
      <c r="H595" s="3" t="s">
        <v>125</v>
      </c>
      <c r="I595" s="70">
        <f>SUM(I596:I599)</f>
        <v>38563</v>
      </c>
      <c r="J595" s="70">
        <f>SUM(J596:J599)</f>
        <v>11418</v>
      </c>
      <c r="K595" s="190">
        <f t="shared" si="48"/>
        <v>29.608692269792286</v>
      </c>
      <c r="L595" s="177"/>
      <c r="M595" s="70"/>
      <c r="N595" s="70"/>
      <c r="O595" s="189"/>
      <c r="P595" s="177"/>
      <c r="Q595" s="70">
        <f t="shared" si="49"/>
        <v>38563</v>
      </c>
      <c r="R595" s="70">
        <f t="shared" si="50"/>
        <v>11418</v>
      </c>
      <c r="S595" s="188">
        <f t="shared" si="51"/>
        <v>29.608692269792286</v>
      </c>
    </row>
    <row r="596" spans="2:19" ht="12.75">
      <c r="B596" s="95">
        <f t="shared" si="52"/>
        <v>50</v>
      </c>
      <c r="C596" s="4"/>
      <c r="D596" s="4"/>
      <c r="E596" s="4"/>
      <c r="F596" s="32" t="s">
        <v>195</v>
      </c>
      <c r="G596" s="41">
        <v>632</v>
      </c>
      <c r="H596" s="4" t="s">
        <v>138</v>
      </c>
      <c r="I596" s="71">
        <v>16360</v>
      </c>
      <c r="J596" s="71">
        <v>6528</v>
      </c>
      <c r="K596" s="190">
        <f t="shared" si="48"/>
        <v>39.90220048899755</v>
      </c>
      <c r="L596" s="178"/>
      <c r="M596" s="71"/>
      <c r="N596" s="71"/>
      <c r="O596" s="189"/>
      <c r="P596" s="178"/>
      <c r="Q596" s="71">
        <f t="shared" si="49"/>
        <v>16360</v>
      </c>
      <c r="R596" s="71">
        <f t="shared" si="50"/>
        <v>6528</v>
      </c>
      <c r="S596" s="188">
        <f t="shared" si="51"/>
        <v>39.90220048899755</v>
      </c>
    </row>
    <row r="597" spans="2:19" ht="12.75">
      <c r="B597" s="95">
        <f t="shared" si="52"/>
        <v>51</v>
      </c>
      <c r="C597" s="4"/>
      <c r="D597" s="4"/>
      <c r="E597" s="4"/>
      <c r="F597" s="32" t="s">
        <v>195</v>
      </c>
      <c r="G597" s="41">
        <v>633</v>
      </c>
      <c r="H597" s="4" t="s">
        <v>129</v>
      </c>
      <c r="I597" s="71">
        <f>10152-1104-344</f>
        <v>8704</v>
      </c>
      <c r="J597" s="71">
        <v>2900</v>
      </c>
      <c r="K597" s="190">
        <f t="shared" si="48"/>
        <v>33.318014705882355</v>
      </c>
      <c r="L597" s="178"/>
      <c r="M597" s="71"/>
      <c r="N597" s="71"/>
      <c r="O597" s="189"/>
      <c r="P597" s="178"/>
      <c r="Q597" s="71">
        <f t="shared" si="49"/>
        <v>8704</v>
      </c>
      <c r="R597" s="71">
        <f t="shared" si="50"/>
        <v>2900</v>
      </c>
      <c r="S597" s="188">
        <f t="shared" si="51"/>
        <v>33.318014705882355</v>
      </c>
    </row>
    <row r="598" spans="2:19" ht="12.75">
      <c r="B598" s="95">
        <f t="shared" si="52"/>
        <v>52</v>
      </c>
      <c r="C598" s="4"/>
      <c r="D598" s="4"/>
      <c r="E598" s="4"/>
      <c r="F598" s="32" t="s">
        <v>195</v>
      </c>
      <c r="G598" s="41">
        <v>635</v>
      </c>
      <c r="H598" s="4" t="s">
        <v>136</v>
      </c>
      <c r="I598" s="71">
        <v>10300</v>
      </c>
      <c r="J598" s="71">
        <v>1072</v>
      </c>
      <c r="K598" s="190">
        <f t="shared" si="48"/>
        <v>10.407766990291261</v>
      </c>
      <c r="L598" s="178"/>
      <c r="M598" s="71"/>
      <c r="N598" s="71"/>
      <c r="O598" s="189"/>
      <c r="P598" s="178"/>
      <c r="Q598" s="71">
        <f t="shared" si="49"/>
        <v>10300</v>
      </c>
      <c r="R598" s="71">
        <f t="shared" si="50"/>
        <v>1072</v>
      </c>
      <c r="S598" s="188">
        <f t="shared" si="51"/>
        <v>10.407766990291261</v>
      </c>
    </row>
    <row r="599" spans="2:19" ht="12.75">
      <c r="B599" s="95">
        <f t="shared" si="52"/>
        <v>53</v>
      </c>
      <c r="C599" s="4"/>
      <c r="D599" s="4"/>
      <c r="E599" s="4"/>
      <c r="F599" s="32" t="s">
        <v>195</v>
      </c>
      <c r="G599" s="41">
        <v>637</v>
      </c>
      <c r="H599" s="4" t="s">
        <v>126</v>
      </c>
      <c r="I599" s="71">
        <v>3199</v>
      </c>
      <c r="J599" s="71">
        <v>918</v>
      </c>
      <c r="K599" s="190">
        <f t="shared" si="48"/>
        <v>28.696467646139418</v>
      </c>
      <c r="L599" s="178"/>
      <c r="M599" s="71"/>
      <c r="N599" s="71"/>
      <c r="O599" s="189"/>
      <c r="P599" s="178"/>
      <c r="Q599" s="71">
        <f t="shared" si="49"/>
        <v>3199</v>
      </c>
      <c r="R599" s="71">
        <f t="shared" si="50"/>
        <v>918</v>
      </c>
      <c r="S599" s="188">
        <f t="shared" si="51"/>
        <v>28.696467646139418</v>
      </c>
    </row>
    <row r="600" spans="2:19" ht="12.75">
      <c r="B600" s="95">
        <f t="shared" si="52"/>
        <v>54</v>
      </c>
      <c r="C600" s="8"/>
      <c r="D600" s="8"/>
      <c r="E600" s="8" t="s">
        <v>95</v>
      </c>
      <c r="F600" s="37"/>
      <c r="G600" s="45"/>
      <c r="H600" s="8" t="s">
        <v>96</v>
      </c>
      <c r="I600" s="85">
        <f>I601+I602+I603</f>
        <v>233754</v>
      </c>
      <c r="J600" s="85">
        <f>J601+J602+J603</f>
        <v>90444</v>
      </c>
      <c r="K600" s="190">
        <f t="shared" si="48"/>
        <v>38.69195821247979</v>
      </c>
      <c r="L600" s="177"/>
      <c r="M600" s="85"/>
      <c r="N600" s="85"/>
      <c r="O600" s="189"/>
      <c r="P600" s="177"/>
      <c r="Q600" s="85">
        <f t="shared" si="49"/>
        <v>233754</v>
      </c>
      <c r="R600" s="85">
        <f t="shared" si="50"/>
        <v>90444</v>
      </c>
      <c r="S600" s="188">
        <f t="shared" si="51"/>
        <v>38.69195821247979</v>
      </c>
    </row>
    <row r="601" spans="2:19" ht="12.75">
      <c r="B601" s="95">
        <f t="shared" si="52"/>
        <v>55</v>
      </c>
      <c r="C601" s="3"/>
      <c r="D601" s="3"/>
      <c r="E601" s="3"/>
      <c r="F601" s="92" t="s">
        <v>195</v>
      </c>
      <c r="G601" s="93">
        <v>610</v>
      </c>
      <c r="H601" s="3" t="s">
        <v>134</v>
      </c>
      <c r="I601" s="70">
        <f>132036+50</f>
        <v>132086</v>
      </c>
      <c r="J601" s="70">
        <v>54655</v>
      </c>
      <c r="K601" s="190">
        <f t="shared" si="48"/>
        <v>41.37834441197402</v>
      </c>
      <c r="L601" s="177"/>
      <c r="M601" s="70"/>
      <c r="N601" s="70"/>
      <c r="O601" s="189"/>
      <c r="P601" s="177"/>
      <c r="Q601" s="70">
        <f t="shared" si="49"/>
        <v>132086</v>
      </c>
      <c r="R601" s="70">
        <f t="shared" si="50"/>
        <v>54655</v>
      </c>
      <c r="S601" s="188">
        <f t="shared" si="51"/>
        <v>41.37834441197402</v>
      </c>
    </row>
    <row r="602" spans="2:19" ht="12.75">
      <c r="B602" s="95">
        <f t="shared" si="52"/>
        <v>56</v>
      </c>
      <c r="C602" s="3"/>
      <c r="D602" s="3"/>
      <c r="E602" s="3"/>
      <c r="F602" s="92" t="s">
        <v>195</v>
      </c>
      <c r="G602" s="93">
        <v>620</v>
      </c>
      <c r="H602" s="3" t="s">
        <v>128</v>
      </c>
      <c r="I602" s="70">
        <f>48787+10</f>
        <v>48797</v>
      </c>
      <c r="J602" s="70">
        <v>20237</v>
      </c>
      <c r="K602" s="190">
        <f t="shared" si="48"/>
        <v>41.471811791708504</v>
      </c>
      <c r="L602" s="177"/>
      <c r="M602" s="70"/>
      <c r="N602" s="70"/>
      <c r="O602" s="189"/>
      <c r="P602" s="177"/>
      <c r="Q602" s="70">
        <f t="shared" si="49"/>
        <v>48797</v>
      </c>
      <c r="R602" s="70">
        <f t="shared" si="50"/>
        <v>20237</v>
      </c>
      <c r="S602" s="188">
        <f t="shared" si="51"/>
        <v>41.471811791708504</v>
      </c>
    </row>
    <row r="603" spans="2:19" ht="12.75">
      <c r="B603" s="95">
        <f t="shared" si="52"/>
        <v>57</v>
      </c>
      <c r="C603" s="3"/>
      <c r="D603" s="3"/>
      <c r="E603" s="3"/>
      <c r="F603" s="92" t="s">
        <v>195</v>
      </c>
      <c r="G603" s="93">
        <v>630</v>
      </c>
      <c r="H603" s="3" t="s">
        <v>125</v>
      </c>
      <c r="I603" s="70">
        <f>SUM(I604:I607)</f>
        <v>52871</v>
      </c>
      <c r="J603" s="70">
        <f>SUM(J604:J607)</f>
        <v>15552</v>
      </c>
      <c r="K603" s="190">
        <f t="shared" si="48"/>
        <v>29.414991205008416</v>
      </c>
      <c r="L603" s="177"/>
      <c r="M603" s="70"/>
      <c r="N603" s="70"/>
      <c r="O603" s="189"/>
      <c r="P603" s="177"/>
      <c r="Q603" s="70">
        <f t="shared" si="49"/>
        <v>52871</v>
      </c>
      <c r="R603" s="70">
        <f t="shared" si="50"/>
        <v>15552</v>
      </c>
      <c r="S603" s="188">
        <f t="shared" si="51"/>
        <v>29.414991205008416</v>
      </c>
    </row>
    <row r="604" spans="2:19" ht="12.75">
      <c r="B604" s="95">
        <f t="shared" si="52"/>
        <v>58</v>
      </c>
      <c r="C604" s="4"/>
      <c r="D604" s="4"/>
      <c r="E604" s="4"/>
      <c r="F604" s="32" t="s">
        <v>195</v>
      </c>
      <c r="G604" s="41">
        <v>632</v>
      </c>
      <c r="H604" s="4" t="s">
        <v>138</v>
      </c>
      <c r="I604" s="71">
        <v>27575</v>
      </c>
      <c r="J604" s="71">
        <v>9940</v>
      </c>
      <c r="K604" s="190">
        <f t="shared" si="48"/>
        <v>36.04714415231188</v>
      </c>
      <c r="L604" s="178"/>
      <c r="M604" s="71"/>
      <c r="N604" s="71"/>
      <c r="O604" s="189"/>
      <c r="P604" s="178"/>
      <c r="Q604" s="71">
        <f t="shared" si="49"/>
        <v>27575</v>
      </c>
      <c r="R604" s="71">
        <f t="shared" si="50"/>
        <v>9940</v>
      </c>
      <c r="S604" s="188">
        <f t="shared" si="51"/>
        <v>36.04714415231188</v>
      </c>
    </row>
    <row r="605" spans="2:19" ht="12.75">
      <c r="B605" s="95">
        <f t="shared" si="52"/>
        <v>59</v>
      </c>
      <c r="C605" s="4"/>
      <c r="D605" s="4"/>
      <c r="E605" s="4"/>
      <c r="F605" s="32" t="s">
        <v>195</v>
      </c>
      <c r="G605" s="41">
        <v>633</v>
      </c>
      <c r="H605" s="4" t="s">
        <v>129</v>
      </c>
      <c r="I605" s="71">
        <f>16100-1408-344</f>
        <v>14348</v>
      </c>
      <c r="J605" s="71">
        <v>2349</v>
      </c>
      <c r="K605" s="190">
        <f t="shared" si="48"/>
        <v>16.37161973794257</v>
      </c>
      <c r="L605" s="178"/>
      <c r="M605" s="71"/>
      <c r="N605" s="71"/>
      <c r="O605" s="189"/>
      <c r="P605" s="178"/>
      <c r="Q605" s="71">
        <f t="shared" si="49"/>
        <v>14348</v>
      </c>
      <c r="R605" s="71">
        <f t="shared" si="50"/>
        <v>2349</v>
      </c>
      <c r="S605" s="188">
        <f t="shared" si="51"/>
        <v>16.37161973794257</v>
      </c>
    </row>
    <row r="606" spans="2:19" ht="12.75">
      <c r="B606" s="95">
        <f t="shared" si="52"/>
        <v>60</v>
      </c>
      <c r="C606" s="4"/>
      <c r="D606" s="4"/>
      <c r="E606" s="4"/>
      <c r="F606" s="32" t="s">
        <v>195</v>
      </c>
      <c r="G606" s="41">
        <v>635</v>
      </c>
      <c r="H606" s="4" t="s">
        <v>136</v>
      </c>
      <c r="I606" s="71">
        <v>7150</v>
      </c>
      <c r="J606" s="71">
        <v>1766</v>
      </c>
      <c r="K606" s="190">
        <f t="shared" si="48"/>
        <v>24.6993006993007</v>
      </c>
      <c r="L606" s="178"/>
      <c r="M606" s="71"/>
      <c r="N606" s="71"/>
      <c r="O606" s="189"/>
      <c r="P606" s="178"/>
      <c r="Q606" s="71">
        <f t="shared" si="49"/>
        <v>7150</v>
      </c>
      <c r="R606" s="71">
        <f t="shared" si="50"/>
        <v>1766</v>
      </c>
      <c r="S606" s="188">
        <f t="shared" si="51"/>
        <v>24.6993006993007</v>
      </c>
    </row>
    <row r="607" spans="2:19" ht="12.75">
      <c r="B607" s="95">
        <f t="shared" si="52"/>
        <v>61</v>
      </c>
      <c r="C607" s="4"/>
      <c r="D607" s="4"/>
      <c r="E607" s="4"/>
      <c r="F607" s="32" t="s">
        <v>195</v>
      </c>
      <c r="G607" s="41">
        <v>637</v>
      </c>
      <c r="H607" s="4" t="s">
        <v>126</v>
      </c>
      <c r="I607" s="71">
        <v>3798</v>
      </c>
      <c r="J607" s="71">
        <v>1497</v>
      </c>
      <c r="K607" s="190">
        <f t="shared" si="48"/>
        <v>39.41548183254344</v>
      </c>
      <c r="L607" s="178"/>
      <c r="M607" s="71"/>
      <c r="N607" s="71"/>
      <c r="O607" s="189"/>
      <c r="P607" s="178"/>
      <c r="Q607" s="71">
        <f t="shared" si="49"/>
        <v>3798</v>
      </c>
      <c r="R607" s="71">
        <f t="shared" si="50"/>
        <v>1497</v>
      </c>
      <c r="S607" s="188">
        <f t="shared" si="51"/>
        <v>39.41548183254344</v>
      </c>
    </row>
    <row r="608" spans="2:19" ht="12.75">
      <c r="B608" s="95">
        <f t="shared" si="52"/>
        <v>62</v>
      </c>
      <c r="C608" s="8"/>
      <c r="D608" s="8"/>
      <c r="E608" s="8" t="s">
        <v>98</v>
      </c>
      <c r="F608" s="37"/>
      <c r="G608" s="45"/>
      <c r="H608" s="8" t="s">
        <v>99</v>
      </c>
      <c r="I608" s="85">
        <f>I609+I610+I611+I616</f>
        <v>245098</v>
      </c>
      <c r="J608" s="85">
        <f>J609+J610+J611+J616</f>
        <v>96275</v>
      </c>
      <c r="K608" s="190">
        <f t="shared" si="48"/>
        <v>39.28020628483301</v>
      </c>
      <c r="L608" s="177"/>
      <c r="M608" s="85"/>
      <c r="N608" s="85"/>
      <c r="O608" s="189"/>
      <c r="P608" s="177"/>
      <c r="Q608" s="85">
        <f t="shared" si="49"/>
        <v>245098</v>
      </c>
      <c r="R608" s="85">
        <f t="shared" si="50"/>
        <v>96275</v>
      </c>
      <c r="S608" s="188">
        <f t="shared" si="51"/>
        <v>39.28020628483301</v>
      </c>
    </row>
    <row r="609" spans="2:19" ht="12.75">
      <c r="B609" s="95">
        <f t="shared" si="52"/>
        <v>63</v>
      </c>
      <c r="C609" s="3"/>
      <c r="D609" s="3"/>
      <c r="E609" s="3"/>
      <c r="F609" s="92" t="s">
        <v>195</v>
      </c>
      <c r="G609" s="93">
        <v>610</v>
      </c>
      <c r="H609" s="3" t="s">
        <v>134</v>
      </c>
      <c r="I609" s="70">
        <v>141662</v>
      </c>
      <c r="J609" s="70">
        <v>59188</v>
      </c>
      <c r="K609" s="190">
        <f t="shared" si="48"/>
        <v>41.78114102582203</v>
      </c>
      <c r="L609" s="177"/>
      <c r="M609" s="70"/>
      <c r="N609" s="70"/>
      <c r="O609" s="189"/>
      <c r="P609" s="177"/>
      <c r="Q609" s="70">
        <f t="shared" si="49"/>
        <v>141662</v>
      </c>
      <c r="R609" s="70">
        <f t="shared" si="50"/>
        <v>59188</v>
      </c>
      <c r="S609" s="188">
        <f t="shared" si="51"/>
        <v>41.78114102582203</v>
      </c>
    </row>
    <row r="610" spans="2:19" ht="12.75">
      <c r="B610" s="95">
        <f t="shared" si="52"/>
        <v>64</v>
      </c>
      <c r="C610" s="3"/>
      <c r="D610" s="3"/>
      <c r="E610" s="3"/>
      <c r="F610" s="92" t="s">
        <v>195</v>
      </c>
      <c r="G610" s="93">
        <v>620</v>
      </c>
      <c r="H610" s="3" t="s">
        <v>128</v>
      </c>
      <c r="I610" s="70">
        <v>52344</v>
      </c>
      <c r="J610" s="70">
        <v>21434</v>
      </c>
      <c r="K610" s="190">
        <f t="shared" si="48"/>
        <v>40.948341739263334</v>
      </c>
      <c r="L610" s="177"/>
      <c r="M610" s="70"/>
      <c r="N610" s="70"/>
      <c r="O610" s="189"/>
      <c r="P610" s="177"/>
      <c r="Q610" s="70">
        <f t="shared" si="49"/>
        <v>52344</v>
      </c>
      <c r="R610" s="70">
        <f t="shared" si="50"/>
        <v>21434</v>
      </c>
      <c r="S610" s="188">
        <f t="shared" si="51"/>
        <v>40.948341739263334</v>
      </c>
    </row>
    <row r="611" spans="2:19" ht="12.75">
      <c r="B611" s="95">
        <f t="shared" si="52"/>
        <v>65</v>
      </c>
      <c r="C611" s="3"/>
      <c r="D611" s="3"/>
      <c r="E611" s="3"/>
      <c r="F611" s="92" t="s">
        <v>195</v>
      </c>
      <c r="G611" s="93">
        <v>630</v>
      </c>
      <c r="H611" s="3" t="s">
        <v>125</v>
      </c>
      <c r="I611" s="70">
        <f>SUM(I612:I615)</f>
        <v>49036</v>
      </c>
      <c r="J611" s="70">
        <f>SUM(J612:J615)</f>
        <v>15434</v>
      </c>
      <c r="K611" s="190">
        <f aca="true" t="shared" si="53" ref="K611:K674">J611/I611*100</f>
        <v>31.474834815237784</v>
      </c>
      <c r="L611" s="177"/>
      <c r="M611" s="70"/>
      <c r="N611" s="70"/>
      <c r="O611" s="189"/>
      <c r="P611" s="177"/>
      <c r="Q611" s="70">
        <f aca="true" t="shared" si="54" ref="Q611:Q674">M611+I611</f>
        <v>49036</v>
      </c>
      <c r="R611" s="70">
        <f aca="true" t="shared" si="55" ref="R611:R674">N611+J611</f>
        <v>15434</v>
      </c>
      <c r="S611" s="188">
        <f aca="true" t="shared" si="56" ref="S611:S674">R611/Q611*100</f>
        <v>31.474834815237784</v>
      </c>
    </row>
    <row r="612" spans="2:19" ht="12.75">
      <c r="B612" s="95">
        <f t="shared" si="52"/>
        <v>66</v>
      </c>
      <c r="C612" s="4"/>
      <c r="D612" s="4"/>
      <c r="E612" s="4"/>
      <c r="F612" s="32" t="s">
        <v>195</v>
      </c>
      <c r="G612" s="41">
        <v>632</v>
      </c>
      <c r="H612" s="4" t="s">
        <v>138</v>
      </c>
      <c r="I612" s="71">
        <v>21690</v>
      </c>
      <c r="J612" s="71">
        <v>10124</v>
      </c>
      <c r="K612" s="190">
        <f t="shared" si="53"/>
        <v>46.67588750576302</v>
      </c>
      <c r="L612" s="178"/>
      <c r="M612" s="71"/>
      <c r="N612" s="71"/>
      <c r="O612" s="189"/>
      <c r="P612" s="178"/>
      <c r="Q612" s="71">
        <f t="shared" si="54"/>
        <v>21690</v>
      </c>
      <c r="R612" s="71">
        <f t="shared" si="55"/>
        <v>10124</v>
      </c>
      <c r="S612" s="188">
        <f t="shared" si="56"/>
        <v>46.67588750576302</v>
      </c>
    </row>
    <row r="613" spans="2:19" ht="12.75">
      <c r="B613" s="95">
        <f aca="true" t="shared" si="57" ref="B613:B676">B612+1</f>
        <v>67</v>
      </c>
      <c r="C613" s="4"/>
      <c r="D613" s="4"/>
      <c r="E613" s="4"/>
      <c r="F613" s="32" t="s">
        <v>195</v>
      </c>
      <c r="G613" s="41">
        <v>633</v>
      </c>
      <c r="H613" s="4" t="s">
        <v>129</v>
      </c>
      <c r="I613" s="71">
        <f>18468-1280-172</f>
        <v>17016</v>
      </c>
      <c r="J613" s="71">
        <v>3343</v>
      </c>
      <c r="K613" s="190">
        <f t="shared" si="53"/>
        <v>19.646215326751292</v>
      </c>
      <c r="L613" s="178"/>
      <c r="M613" s="71"/>
      <c r="N613" s="71"/>
      <c r="O613" s="189"/>
      <c r="P613" s="178"/>
      <c r="Q613" s="71">
        <f t="shared" si="54"/>
        <v>17016</v>
      </c>
      <c r="R613" s="71">
        <f t="shared" si="55"/>
        <v>3343</v>
      </c>
      <c r="S613" s="188">
        <f t="shared" si="56"/>
        <v>19.646215326751292</v>
      </c>
    </row>
    <row r="614" spans="2:19" ht="12.75">
      <c r="B614" s="95">
        <f t="shared" si="57"/>
        <v>68</v>
      </c>
      <c r="C614" s="4"/>
      <c r="D614" s="4"/>
      <c r="E614" s="4"/>
      <c r="F614" s="32" t="s">
        <v>195</v>
      </c>
      <c r="G614" s="41">
        <v>635</v>
      </c>
      <c r="H614" s="4" t="s">
        <v>136</v>
      </c>
      <c r="I614" s="71">
        <v>6150</v>
      </c>
      <c r="J614" s="71">
        <v>0</v>
      </c>
      <c r="K614" s="190">
        <f t="shared" si="53"/>
        <v>0</v>
      </c>
      <c r="L614" s="178"/>
      <c r="M614" s="71"/>
      <c r="N614" s="71"/>
      <c r="O614" s="189"/>
      <c r="P614" s="178"/>
      <c r="Q614" s="71">
        <f t="shared" si="54"/>
        <v>6150</v>
      </c>
      <c r="R614" s="71">
        <f t="shared" si="55"/>
        <v>0</v>
      </c>
      <c r="S614" s="188">
        <f t="shared" si="56"/>
        <v>0</v>
      </c>
    </row>
    <row r="615" spans="2:19" ht="12.75">
      <c r="B615" s="95">
        <f t="shared" si="57"/>
        <v>69</v>
      </c>
      <c r="C615" s="4"/>
      <c r="D615" s="4"/>
      <c r="E615" s="4"/>
      <c r="F615" s="32" t="s">
        <v>195</v>
      </c>
      <c r="G615" s="41">
        <v>637</v>
      </c>
      <c r="H615" s="4" t="s">
        <v>126</v>
      </c>
      <c r="I615" s="71">
        <v>4180</v>
      </c>
      <c r="J615" s="71">
        <v>1967</v>
      </c>
      <c r="K615" s="190">
        <f t="shared" si="53"/>
        <v>47.05741626794258</v>
      </c>
      <c r="L615" s="178"/>
      <c r="M615" s="71"/>
      <c r="N615" s="71"/>
      <c r="O615" s="189"/>
      <c r="P615" s="178"/>
      <c r="Q615" s="71">
        <f t="shared" si="54"/>
        <v>4180</v>
      </c>
      <c r="R615" s="71">
        <f t="shared" si="55"/>
        <v>1967</v>
      </c>
      <c r="S615" s="188">
        <f t="shared" si="56"/>
        <v>47.05741626794258</v>
      </c>
    </row>
    <row r="616" spans="2:19" ht="12.75">
      <c r="B616" s="95">
        <f t="shared" si="57"/>
        <v>70</v>
      </c>
      <c r="C616" s="3"/>
      <c r="D616" s="3"/>
      <c r="E616" s="3"/>
      <c r="F616" s="92" t="s">
        <v>195</v>
      </c>
      <c r="G616" s="93">
        <v>640</v>
      </c>
      <c r="H616" s="3" t="s">
        <v>132</v>
      </c>
      <c r="I616" s="70">
        <v>2056</v>
      </c>
      <c r="J616" s="70">
        <v>219</v>
      </c>
      <c r="K616" s="190">
        <f t="shared" si="53"/>
        <v>10.651750972762645</v>
      </c>
      <c r="L616" s="177"/>
      <c r="M616" s="70"/>
      <c r="N616" s="70"/>
      <c r="O616" s="189"/>
      <c r="P616" s="177"/>
      <c r="Q616" s="70">
        <f t="shared" si="54"/>
        <v>2056</v>
      </c>
      <c r="R616" s="70">
        <f t="shared" si="55"/>
        <v>219</v>
      </c>
      <c r="S616" s="188">
        <f t="shared" si="56"/>
        <v>10.651750972762645</v>
      </c>
    </row>
    <row r="617" spans="2:19" ht="12.75">
      <c r="B617" s="95">
        <f t="shared" si="57"/>
        <v>71</v>
      </c>
      <c r="C617" s="8"/>
      <c r="D617" s="8"/>
      <c r="E617" s="8" t="s">
        <v>83</v>
      </c>
      <c r="F617" s="37"/>
      <c r="G617" s="45"/>
      <c r="H617" s="8" t="s">
        <v>84</v>
      </c>
      <c r="I617" s="85">
        <f>I618+I619+I620+I625</f>
        <v>359015</v>
      </c>
      <c r="J617" s="85">
        <f>J618+J619+J620+J625</f>
        <v>143808</v>
      </c>
      <c r="K617" s="190">
        <f t="shared" si="53"/>
        <v>40.056265058563014</v>
      </c>
      <c r="L617" s="177"/>
      <c r="M617" s="85"/>
      <c r="N617" s="85"/>
      <c r="O617" s="189"/>
      <c r="P617" s="177"/>
      <c r="Q617" s="85">
        <f t="shared" si="54"/>
        <v>359015</v>
      </c>
      <c r="R617" s="85">
        <f t="shared" si="55"/>
        <v>143808</v>
      </c>
      <c r="S617" s="188">
        <f t="shared" si="56"/>
        <v>40.056265058563014</v>
      </c>
    </row>
    <row r="618" spans="2:19" ht="12.75">
      <c r="B618" s="95">
        <f t="shared" si="57"/>
        <v>72</v>
      </c>
      <c r="C618" s="3"/>
      <c r="D618" s="3"/>
      <c r="E618" s="3"/>
      <c r="F618" s="92" t="s">
        <v>195</v>
      </c>
      <c r="G618" s="93">
        <v>610</v>
      </c>
      <c r="H618" s="3" t="s">
        <v>134</v>
      </c>
      <c r="I618" s="70">
        <v>210134</v>
      </c>
      <c r="J618" s="70">
        <v>87244</v>
      </c>
      <c r="K618" s="190">
        <f t="shared" si="53"/>
        <v>41.518269294830915</v>
      </c>
      <c r="L618" s="177"/>
      <c r="M618" s="70"/>
      <c r="N618" s="70"/>
      <c r="O618" s="189"/>
      <c r="P618" s="177"/>
      <c r="Q618" s="70">
        <f t="shared" si="54"/>
        <v>210134</v>
      </c>
      <c r="R618" s="70">
        <f t="shared" si="55"/>
        <v>87244</v>
      </c>
      <c r="S618" s="188">
        <f t="shared" si="56"/>
        <v>41.518269294830915</v>
      </c>
    </row>
    <row r="619" spans="2:19" ht="12.75">
      <c r="B619" s="95">
        <f t="shared" si="57"/>
        <v>73</v>
      </c>
      <c r="C619" s="3"/>
      <c r="D619" s="3"/>
      <c r="E619" s="3"/>
      <c r="F619" s="92" t="s">
        <v>195</v>
      </c>
      <c r="G619" s="93">
        <v>620</v>
      </c>
      <c r="H619" s="3" t="s">
        <v>128</v>
      </c>
      <c r="I619" s="70">
        <v>77645</v>
      </c>
      <c r="J619" s="70">
        <v>30870</v>
      </c>
      <c r="K619" s="190">
        <f t="shared" si="53"/>
        <v>39.757872367827936</v>
      </c>
      <c r="L619" s="177"/>
      <c r="M619" s="70"/>
      <c r="N619" s="70"/>
      <c r="O619" s="189"/>
      <c r="P619" s="177"/>
      <c r="Q619" s="70">
        <f t="shared" si="54"/>
        <v>77645</v>
      </c>
      <c r="R619" s="70">
        <f t="shared" si="55"/>
        <v>30870</v>
      </c>
      <c r="S619" s="188">
        <f t="shared" si="56"/>
        <v>39.757872367827936</v>
      </c>
    </row>
    <row r="620" spans="2:19" ht="12.75">
      <c r="B620" s="95">
        <f t="shared" si="57"/>
        <v>74</v>
      </c>
      <c r="C620" s="3"/>
      <c r="D620" s="3"/>
      <c r="E620" s="3"/>
      <c r="F620" s="92" t="s">
        <v>195</v>
      </c>
      <c r="G620" s="93">
        <v>630</v>
      </c>
      <c r="H620" s="3" t="s">
        <v>125</v>
      </c>
      <c r="I620" s="70">
        <f>SUM(I621:I624)</f>
        <v>67697</v>
      </c>
      <c r="J620" s="70">
        <f>SUM(J621:J624)</f>
        <v>24701</v>
      </c>
      <c r="K620" s="190">
        <f t="shared" si="53"/>
        <v>36.48758438335524</v>
      </c>
      <c r="L620" s="177"/>
      <c r="M620" s="70"/>
      <c r="N620" s="70"/>
      <c r="O620" s="189"/>
      <c r="P620" s="177"/>
      <c r="Q620" s="70">
        <f t="shared" si="54"/>
        <v>67697</v>
      </c>
      <c r="R620" s="70">
        <f t="shared" si="55"/>
        <v>24701</v>
      </c>
      <c r="S620" s="188">
        <f t="shared" si="56"/>
        <v>36.48758438335524</v>
      </c>
    </row>
    <row r="621" spans="2:19" ht="12.75">
      <c r="B621" s="95">
        <f t="shared" si="57"/>
        <v>75</v>
      </c>
      <c r="C621" s="4"/>
      <c r="D621" s="4"/>
      <c r="E621" s="4"/>
      <c r="F621" s="32" t="s">
        <v>195</v>
      </c>
      <c r="G621" s="41">
        <v>632</v>
      </c>
      <c r="H621" s="4" t="s">
        <v>138</v>
      </c>
      <c r="I621" s="71">
        <v>34780</v>
      </c>
      <c r="J621" s="71">
        <v>12875</v>
      </c>
      <c r="K621" s="190">
        <f t="shared" si="53"/>
        <v>37.018401380103505</v>
      </c>
      <c r="L621" s="178"/>
      <c r="M621" s="71"/>
      <c r="N621" s="71"/>
      <c r="O621" s="189"/>
      <c r="P621" s="178"/>
      <c r="Q621" s="71">
        <f t="shared" si="54"/>
        <v>34780</v>
      </c>
      <c r="R621" s="71">
        <f t="shared" si="55"/>
        <v>12875</v>
      </c>
      <c r="S621" s="188">
        <f t="shared" si="56"/>
        <v>37.018401380103505</v>
      </c>
    </row>
    <row r="622" spans="2:19" ht="12.75">
      <c r="B622" s="95">
        <f t="shared" si="57"/>
        <v>76</v>
      </c>
      <c r="C622" s="4"/>
      <c r="D622" s="4"/>
      <c r="E622" s="4"/>
      <c r="F622" s="32" t="s">
        <v>195</v>
      </c>
      <c r="G622" s="41">
        <v>633</v>
      </c>
      <c r="H622" s="4" t="s">
        <v>129</v>
      </c>
      <c r="I622" s="71">
        <f>13635-1968+347</f>
        <v>12014</v>
      </c>
      <c r="J622" s="71">
        <v>3052</v>
      </c>
      <c r="K622" s="190">
        <f t="shared" si="53"/>
        <v>25.403695688363577</v>
      </c>
      <c r="L622" s="178"/>
      <c r="M622" s="71"/>
      <c r="N622" s="71"/>
      <c r="O622" s="189"/>
      <c r="P622" s="178"/>
      <c r="Q622" s="71">
        <f t="shared" si="54"/>
        <v>12014</v>
      </c>
      <c r="R622" s="71">
        <f t="shared" si="55"/>
        <v>3052</v>
      </c>
      <c r="S622" s="188">
        <f t="shared" si="56"/>
        <v>25.403695688363577</v>
      </c>
    </row>
    <row r="623" spans="2:19" ht="12.75">
      <c r="B623" s="95">
        <f t="shared" si="57"/>
        <v>77</v>
      </c>
      <c r="C623" s="4"/>
      <c r="D623" s="4"/>
      <c r="E623" s="4"/>
      <c r="F623" s="32" t="s">
        <v>195</v>
      </c>
      <c r="G623" s="41">
        <v>635</v>
      </c>
      <c r="H623" s="4" t="s">
        <v>136</v>
      </c>
      <c r="I623" s="71">
        <v>15000</v>
      </c>
      <c r="J623" s="71">
        <v>7036</v>
      </c>
      <c r="K623" s="190">
        <f t="shared" si="53"/>
        <v>46.906666666666666</v>
      </c>
      <c r="L623" s="178"/>
      <c r="M623" s="71"/>
      <c r="N623" s="71"/>
      <c r="O623" s="189"/>
      <c r="P623" s="178"/>
      <c r="Q623" s="71">
        <f t="shared" si="54"/>
        <v>15000</v>
      </c>
      <c r="R623" s="71">
        <f t="shared" si="55"/>
        <v>7036</v>
      </c>
      <c r="S623" s="188">
        <f t="shared" si="56"/>
        <v>46.906666666666666</v>
      </c>
    </row>
    <row r="624" spans="2:19" ht="12.75">
      <c r="B624" s="95">
        <f t="shared" si="57"/>
        <v>78</v>
      </c>
      <c r="C624" s="4"/>
      <c r="D624" s="4"/>
      <c r="E624" s="4"/>
      <c r="F624" s="32" t="s">
        <v>195</v>
      </c>
      <c r="G624" s="41">
        <v>637</v>
      </c>
      <c r="H624" s="4" t="s">
        <v>126</v>
      </c>
      <c r="I624" s="71">
        <v>5903</v>
      </c>
      <c r="J624" s="71">
        <v>1738</v>
      </c>
      <c r="K624" s="190">
        <f t="shared" si="53"/>
        <v>29.44265627646959</v>
      </c>
      <c r="L624" s="178"/>
      <c r="M624" s="71"/>
      <c r="N624" s="71"/>
      <c r="O624" s="189"/>
      <c r="P624" s="178"/>
      <c r="Q624" s="71">
        <f t="shared" si="54"/>
        <v>5903</v>
      </c>
      <c r="R624" s="71">
        <f t="shared" si="55"/>
        <v>1738</v>
      </c>
      <c r="S624" s="188">
        <f t="shared" si="56"/>
        <v>29.44265627646959</v>
      </c>
    </row>
    <row r="625" spans="2:19" ht="12.75">
      <c r="B625" s="95">
        <f t="shared" si="57"/>
        <v>79</v>
      </c>
      <c r="C625" s="3"/>
      <c r="D625" s="3"/>
      <c r="E625" s="3"/>
      <c r="F625" s="92" t="s">
        <v>195</v>
      </c>
      <c r="G625" s="93">
        <v>640</v>
      </c>
      <c r="H625" s="3" t="s">
        <v>132</v>
      </c>
      <c r="I625" s="70">
        <v>3539</v>
      </c>
      <c r="J625" s="70">
        <v>993</v>
      </c>
      <c r="K625" s="190">
        <f t="shared" si="53"/>
        <v>28.058773664877084</v>
      </c>
      <c r="L625" s="177"/>
      <c r="M625" s="70"/>
      <c r="N625" s="70"/>
      <c r="O625" s="189"/>
      <c r="P625" s="177"/>
      <c r="Q625" s="70">
        <f t="shared" si="54"/>
        <v>3539</v>
      </c>
      <c r="R625" s="70">
        <f t="shared" si="55"/>
        <v>993</v>
      </c>
      <c r="S625" s="188">
        <f t="shared" si="56"/>
        <v>28.058773664877084</v>
      </c>
    </row>
    <row r="626" spans="2:19" ht="12.75">
      <c r="B626" s="95">
        <f t="shared" si="57"/>
        <v>80</v>
      </c>
      <c r="C626" s="8"/>
      <c r="D626" s="8"/>
      <c r="E626" s="8" t="s">
        <v>80</v>
      </c>
      <c r="F626" s="37"/>
      <c r="G626" s="45"/>
      <c r="H626" s="8" t="s">
        <v>81</v>
      </c>
      <c r="I626" s="85">
        <f>I627+I628+I629+I634</f>
        <v>373268</v>
      </c>
      <c r="J626" s="85">
        <f>J627+J628+J629+J634</f>
        <v>144324</v>
      </c>
      <c r="K626" s="190">
        <f t="shared" si="53"/>
        <v>38.664980657329316</v>
      </c>
      <c r="L626" s="177"/>
      <c r="M626" s="85"/>
      <c r="N626" s="85"/>
      <c r="O626" s="189"/>
      <c r="P626" s="177"/>
      <c r="Q626" s="85">
        <f t="shared" si="54"/>
        <v>373268</v>
      </c>
      <c r="R626" s="85">
        <f t="shared" si="55"/>
        <v>144324</v>
      </c>
      <c r="S626" s="188">
        <f t="shared" si="56"/>
        <v>38.664980657329316</v>
      </c>
    </row>
    <row r="627" spans="2:19" ht="12.75">
      <c r="B627" s="95">
        <f t="shared" si="57"/>
        <v>81</v>
      </c>
      <c r="C627" s="3"/>
      <c r="D627" s="3"/>
      <c r="E627" s="3"/>
      <c r="F627" s="92" t="s">
        <v>195</v>
      </c>
      <c r="G627" s="93">
        <v>610</v>
      </c>
      <c r="H627" s="3" t="s">
        <v>134</v>
      </c>
      <c r="I627" s="70">
        <v>215406</v>
      </c>
      <c r="J627" s="70">
        <v>84345</v>
      </c>
      <c r="K627" s="190">
        <f t="shared" si="53"/>
        <v>39.156290911116685</v>
      </c>
      <c r="L627" s="177"/>
      <c r="M627" s="70"/>
      <c r="N627" s="70"/>
      <c r="O627" s="189"/>
      <c r="P627" s="177"/>
      <c r="Q627" s="70">
        <f t="shared" si="54"/>
        <v>215406</v>
      </c>
      <c r="R627" s="70">
        <f t="shared" si="55"/>
        <v>84345</v>
      </c>
      <c r="S627" s="188">
        <f t="shared" si="56"/>
        <v>39.156290911116685</v>
      </c>
    </row>
    <row r="628" spans="2:19" ht="12.75">
      <c r="B628" s="95">
        <f t="shared" si="57"/>
        <v>82</v>
      </c>
      <c r="C628" s="3"/>
      <c r="D628" s="3"/>
      <c r="E628" s="3"/>
      <c r="F628" s="92" t="s">
        <v>195</v>
      </c>
      <c r="G628" s="93">
        <v>620</v>
      </c>
      <c r="H628" s="3" t="s">
        <v>128</v>
      </c>
      <c r="I628" s="70">
        <v>79592</v>
      </c>
      <c r="J628" s="70">
        <v>30399</v>
      </c>
      <c r="K628" s="190">
        <f t="shared" si="53"/>
        <v>38.193537038898384</v>
      </c>
      <c r="L628" s="177"/>
      <c r="M628" s="70"/>
      <c r="N628" s="70"/>
      <c r="O628" s="189"/>
      <c r="P628" s="177"/>
      <c r="Q628" s="70">
        <f t="shared" si="54"/>
        <v>79592</v>
      </c>
      <c r="R628" s="70">
        <f t="shared" si="55"/>
        <v>30399</v>
      </c>
      <c r="S628" s="188">
        <f t="shared" si="56"/>
        <v>38.193537038898384</v>
      </c>
    </row>
    <row r="629" spans="2:19" ht="12.75">
      <c r="B629" s="95">
        <f t="shared" si="57"/>
        <v>83</v>
      </c>
      <c r="C629" s="3"/>
      <c r="D629" s="3"/>
      <c r="E629" s="3"/>
      <c r="F629" s="92" t="s">
        <v>195</v>
      </c>
      <c r="G629" s="93">
        <v>630</v>
      </c>
      <c r="H629" s="3" t="s">
        <v>125</v>
      </c>
      <c r="I629" s="70">
        <f>SUM(I630:I633)</f>
        <v>71985</v>
      </c>
      <c r="J629" s="70">
        <f>SUM(J630:J633)</f>
        <v>27010</v>
      </c>
      <c r="K629" s="190">
        <f t="shared" si="53"/>
        <v>37.52170591095367</v>
      </c>
      <c r="L629" s="177"/>
      <c r="M629" s="70"/>
      <c r="N629" s="70"/>
      <c r="O629" s="189"/>
      <c r="P629" s="177"/>
      <c r="Q629" s="70">
        <f t="shared" si="54"/>
        <v>71985</v>
      </c>
      <c r="R629" s="70">
        <f t="shared" si="55"/>
        <v>27010</v>
      </c>
      <c r="S629" s="188">
        <f t="shared" si="56"/>
        <v>37.52170591095367</v>
      </c>
    </row>
    <row r="630" spans="2:19" ht="12.75">
      <c r="B630" s="95">
        <f t="shared" si="57"/>
        <v>84</v>
      </c>
      <c r="C630" s="4"/>
      <c r="D630" s="4"/>
      <c r="E630" s="4"/>
      <c r="F630" s="32" t="s">
        <v>195</v>
      </c>
      <c r="G630" s="41">
        <v>632</v>
      </c>
      <c r="H630" s="4" t="s">
        <v>138</v>
      </c>
      <c r="I630" s="71">
        <v>44830</v>
      </c>
      <c r="J630" s="71">
        <v>19555</v>
      </c>
      <c r="K630" s="190">
        <f t="shared" si="53"/>
        <v>43.62034351996431</v>
      </c>
      <c r="L630" s="178"/>
      <c r="M630" s="71"/>
      <c r="N630" s="71"/>
      <c r="O630" s="189"/>
      <c r="P630" s="178"/>
      <c r="Q630" s="71">
        <f t="shared" si="54"/>
        <v>44830</v>
      </c>
      <c r="R630" s="71">
        <f t="shared" si="55"/>
        <v>19555</v>
      </c>
      <c r="S630" s="188">
        <f t="shared" si="56"/>
        <v>43.62034351996431</v>
      </c>
    </row>
    <row r="631" spans="2:19" ht="12.75">
      <c r="B631" s="95">
        <f t="shared" si="57"/>
        <v>85</v>
      </c>
      <c r="C631" s="4"/>
      <c r="D631" s="4"/>
      <c r="E631" s="4"/>
      <c r="F631" s="32" t="s">
        <v>195</v>
      </c>
      <c r="G631" s="41">
        <v>633</v>
      </c>
      <c r="H631" s="4" t="s">
        <v>129</v>
      </c>
      <c r="I631" s="71">
        <f>19222-2256-171</f>
        <v>16795</v>
      </c>
      <c r="J631" s="71">
        <v>4706</v>
      </c>
      <c r="K631" s="190">
        <f t="shared" si="53"/>
        <v>28.02024412027389</v>
      </c>
      <c r="L631" s="178"/>
      <c r="M631" s="71"/>
      <c r="N631" s="71"/>
      <c r="O631" s="189"/>
      <c r="P631" s="178"/>
      <c r="Q631" s="71">
        <f t="shared" si="54"/>
        <v>16795</v>
      </c>
      <c r="R631" s="71">
        <f t="shared" si="55"/>
        <v>4706</v>
      </c>
      <c r="S631" s="188">
        <f t="shared" si="56"/>
        <v>28.02024412027389</v>
      </c>
    </row>
    <row r="632" spans="2:19" ht="12.75">
      <c r="B632" s="95">
        <f t="shared" si="57"/>
        <v>86</v>
      </c>
      <c r="C632" s="4"/>
      <c r="D632" s="4"/>
      <c r="E632" s="4"/>
      <c r="F632" s="32" t="s">
        <v>195</v>
      </c>
      <c r="G632" s="41">
        <v>635</v>
      </c>
      <c r="H632" s="4" t="s">
        <v>136</v>
      </c>
      <c r="I632" s="71">
        <v>3700</v>
      </c>
      <c r="J632" s="71">
        <v>601</v>
      </c>
      <c r="K632" s="190">
        <f t="shared" si="53"/>
        <v>16.243243243243242</v>
      </c>
      <c r="L632" s="178"/>
      <c r="M632" s="71"/>
      <c r="N632" s="71"/>
      <c r="O632" s="189"/>
      <c r="P632" s="178"/>
      <c r="Q632" s="71">
        <f t="shared" si="54"/>
        <v>3700</v>
      </c>
      <c r="R632" s="71">
        <f t="shared" si="55"/>
        <v>601</v>
      </c>
      <c r="S632" s="188">
        <f t="shared" si="56"/>
        <v>16.243243243243242</v>
      </c>
    </row>
    <row r="633" spans="2:19" ht="12.75">
      <c r="B633" s="95">
        <f t="shared" si="57"/>
        <v>87</v>
      </c>
      <c r="C633" s="4"/>
      <c r="D633" s="4"/>
      <c r="E633" s="4"/>
      <c r="F633" s="32" t="s">
        <v>195</v>
      </c>
      <c r="G633" s="41">
        <v>637</v>
      </c>
      <c r="H633" s="4" t="s">
        <v>126</v>
      </c>
      <c r="I633" s="71">
        <v>6660</v>
      </c>
      <c r="J633" s="71">
        <v>2148</v>
      </c>
      <c r="K633" s="190">
        <f t="shared" si="53"/>
        <v>32.25225225225225</v>
      </c>
      <c r="L633" s="178"/>
      <c r="M633" s="71"/>
      <c r="N633" s="71"/>
      <c r="O633" s="189"/>
      <c r="P633" s="178"/>
      <c r="Q633" s="71">
        <f t="shared" si="54"/>
        <v>6660</v>
      </c>
      <c r="R633" s="71">
        <f t="shared" si="55"/>
        <v>2148</v>
      </c>
      <c r="S633" s="188">
        <f t="shared" si="56"/>
        <v>32.25225225225225</v>
      </c>
    </row>
    <row r="634" spans="2:19" ht="12.75">
      <c r="B634" s="95">
        <f t="shared" si="57"/>
        <v>88</v>
      </c>
      <c r="C634" s="3"/>
      <c r="D634" s="3"/>
      <c r="E634" s="3"/>
      <c r="F634" s="92" t="s">
        <v>195</v>
      </c>
      <c r="G634" s="93">
        <v>640</v>
      </c>
      <c r="H634" s="3" t="s">
        <v>132</v>
      </c>
      <c r="I634" s="70">
        <v>6285</v>
      </c>
      <c r="J634" s="70">
        <v>2570</v>
      </c>
      <c r="K634" s="190">
        <f t="shared" si="53"/>
        <v>40.89101034208433</v>
      </c>
      <c r="L634" s="177"/>
      <c r="M634" s="70"/>
      <c r="N634" s="70"/>
      <c r="O634" s="189"/>
      <c r="P634" s="177"/>
      <c r="Q634" s="70">
        <f t="shared" si="54"/>
        <v>6285</v>
      </c>
      <c r="R634" s="70">
        <f t="shared" si="55"/>
        <v>2570</v>
      </c>
      <c r="S634" s="188">
        <f t="shared" si="56"/>
        <v>40.89101034208433</v>
      </c>
    </row>
    <row r="635" spans="2:19" ht="12.75">
      <c r="B635" s="95">
        <f t="shared" si="57"/>
        <v>89</v>
      </c>
      <c r="C635" s="8"/>
      <c r="D635" s="8"/>
      <c r="E635" s="8" t="s">
        <v>102</v>
      </c>
      <c r="F635" s="37"/>
      <c r="G635" s="45"/>
      <c r="H635" s="8" t="s">
        <v>103</v>
      </c>
      <c r="I635" s="85">
        <f>I636+I637+I638+I643</f>
        <v>240633</v>
      </c>
      <c r="J635" s="85">
        <f>J636+J637+J638+J643</f>
        <v>89918</v>
      </c>
      <c r="K635" s="190">
        <f t="shared" si="53"/>
        <v>37.36727713987691</v>
      </c>
      <c r="L635" s="177"/>
      <c r="M635" s="85"/>
      <c r="N635" s="85"/>
      <c r="O635" s="189"/>
      <c r="P635" s="177"/>
      <c r="Q635" s="85">
        <f t="shared" si="54"/>
        <v>240633</v>
      </c>
      <c r="R635" s="85">
        <f t="shared" si="55"/>
        <v>89918</v>
      </c>
      <c r="S635" s="188">
        <f t="shared" si="56"/>
        <v>37.36727713987691</v>
      </c>
    </row>
    <row r="636" spans="2:19" ht="12.75">
      <c r="B636" s="95">
        <f t="shared" si="57"/>
        <v>90</v>
      </c>
      <c r="C636" s="3"/>
      <c r="D636" s="3"/>
      <c r="E636" s="3"/>
      <c r="F636" s="92" t="s">
        <v>195</v>
      </c>
      <c r="G636" s="93">
        <v>610</v>
      </c>
      <c r="H636" s="3" t="s">
        <v>134</v>
      </c>
      <c r="I636" s="70">
        <f>147218+50</f>
        <v>147268</v>
      </c>
      <c r="J636" s="70">
        <v>57507</v>
      </c>
      <c r="K636" s="190">
        <f t="shared" si="53"/>
        <v>39.04921639460032</v>
      </c>
      <c r="L636" s="177"/>
      <c r="M636" s="70"/>
      <c r="N636" s="70"/>
      <c r="O636" s="189"/>
      <c r="P636" s="177"/>
      <c r="Q636" s="70">
        <f t="shared" si="54"/>
        <v>147268</v>
      </c>
      <c r="R636" s="70">
        <f t="shared" si="55"/>
        <v>57507</v>
      </c>
      <c r="S636" s="188">
        <f t="shared" si="56"/>
        <v>39.04921639460032</v>
      </c>
    </row>
    <row r="637" spans="2:19" ht="12.75">
      <c r="B637" s="95">
        <f t="shared" si="57"/>
        <v>91</v>
      </c>
      <c r="C637" s="3"/>
      <c r="D637" s="3"/>
      <c r="E637" s="3"/>
      <c r="F637" s="92" t="s">
        <v>195</v>
      </c>
      <c r="G637" s="93">
        <v>620</v>
      </c>
      <c r="H637" s="3" t="s">
        <v>128</v>
      </c>
      <c r="I637" s="70">
        <f>54397+10</f>
        <v>54407</v>
      </c>
      <c r="J637" s="70">
        <v>20703</v>
      </c>
      <c r="K637" s="190">
        <f t="shared" si="53"/>
        <v>38.05208888562134</v>
      </c>
      <c r="L637" s="177"/>
      <c r="M637" s="70"/>
      <c r="N637" s="70"/>
      <c r="O637" s="189"/>
      <c r="P637" s="177"/>
      <c r="Q637" s="70">
        <f t="shared" si="54"/>
        <v>54407</v>
      </c>
      <c r="R637" s="70">
        <f t="shared" si="55"/>
        <v>20703</v>
      </c>
      <c r="S637" s="188">
        <f t="shared" si="56"/>
        <v>38.05208888562134</v>
      </c>
    </row>
    <row r="638" spans="2:19" ht="12.75">
      <c r="B638" s="95">
        <f t="shared" si="57"/>
        <v>92</v>
      </c>
      <c r="C638" s="3"/>
      <c r="D638" s="3"/>
      <c r="E638" s="3"/>
      <c r="F638" s="92" t="s">
        <v>195</v>
      </c>
      <c r="G638" s="93">
        <v>630</v>
      </c>
      <c r="H638" s="3" t="s">
        <v>125</v>
      </c>
      <c r="I638" s="70">
        <f>SUM(I639:I642)</f>
        <v>36902</v>
      </c>
      <c r="J638" s="70">
        <f>SUM(J639:J642)</f>
        <v>11236</v>
      </c>
      <c r="K638" s="190">
        <f t="shared" si="53"/>
        <v>30.448214188932848</v>
      </c>
      <c r="L638" s="177"/>
      <c r="M638" s="70"/>
      <c r="N638" s="70"/>
      <c r="O638" s="189"/>
      <c r="P638" s="177"/>
      <c r="Q638" s="70">
        <f t="shared" si="54"/>
        <v>36902</v>
      </c>
      <c r="R638" s="70">
        <f t="shared" si="55"/>
        <v>11236</v>
      </c>
      <c r="S638" s="188">
        <f t="shared" si="56"/>
        <v>30.448214188932848</v>
      </c>
    </row>
    <row r="639" spans="2:19" ht="12.75">
      <c r="B639" s="95">
        <f t="shared" si="57"/>
        <v>93</v>
      </c>
      <c r="C639" s="4"/>
      <c r="D639" s="4"/>
      <c r="E639" s="4"/>
      <c r="F639" s="32" t="s">
        <v>195</v>
      </c>
      <c r="G639" s="41">
        <v>632</v>
      </c>
      <c r="H639" s="4" t="s">
        <v>138</v>
      </c>
      <c r="I639" s="71">
        <v>14290</v>
      </c>
      <c r="J639" s="71">
        <v>6854</v>
      </c>
      <c r="K639" s="190">
        <f t="shared" si="53"/>
        <v>47.96361091672498</v>
      </c>
      <c r="L639" s="178"/>
      <c r="M639" s="71"/>
      <c r="N639" s="71"/>
      <c r="O639" s="189"/>
      <c r="P639" s="178"/>
      <c r="Q639" s="71">
        <f t="shared" si="54"/>
        <v>14290</v>
      </c>
      <c r="R639" s="71">
        <f t="shared" si="55"/>
        <v>6854</v>
      </c>
      <c r="S639" s="188">
        <f t="shared" si="56"/>
        <v>47.96361091672498</v>
      </c>
    </row>
    <row r="640" spans="2:19" ht="12.75">
      <c r="B640" s="95">
        <f t="shared" si="57"/>
        <v>94</v>
      </c>
      <c r="C640" s="4"/>
      <c r="D640" s="4"/>
      <c r="E640" s="4"/>
      <c r="F640" s="32" t="s">
        <v>195</v>
      </c>
      <c r="G640" s="41">
        <v>633</v>
      </c>
      <c r="H640" s="4" t="s">
        <v>129</v>
      </c>
      <c r="I640" s="71">
        <f>9734-1120+1</f>
        <v>8615</v>
      </c>
      <c r="J640" s="71">
        <v>2024</v>
      </c>
      <c r="K640" s="190">
        <f t="shared" si="53"/>
        <v>23.493905977945445</v>
      </c>
      <c r="L640" s="178"/>
      <c r="M640" s="71"/>
      <c r="N640" s="71"/>
      <c r="O640" s="189"/>
      <c r="P640" s="178"/>
      <c r="Q640" s="71">
        <f t="shared" si="54"/>
        <v>8615</v>
      </c>
      <c r="R640" s="71">
        <f t="shared" si="55"/>
        <v>2024</v>
      </c>
      <c r="S640" s="188">
        <f t="shared" si="56"/>
        <v>23.493905977945445</v>
      </c>
    </row>
    <row r="641" spans="2:19" ht="12.75">
      <c r="B641" s="95">
        <f t="shared" si="57"/>
        <v>95</v>
      </c>
      <c r="C641" s="4"/>
      <c r="D641" s="4"/>
      <c r="E641" s="4"/>
      <c r="F641" s="32" t="s">
        <v>195</v>
      </c>
      <c r="G641" s="41">
        <v>635</v>
      </c>
      <c r="H641" s="4" t="s">
        <v>136</v>
      </c>
      <c r="I641" s="71">
        <v>9200</v>
      </c>
      <c r="J641" s="71">
        <v>20</v>
      </c>
      <c r="K641" s="190">
        <f t="shared" si="53"/>
        <v>0.21739130434782608</v>
      </c>
      <c r="L641" s="178"/>
      <c r="M641" s="71"/>
      <c r="N641" s="71"/>
      <c r="O641" s="189"/>
      <c r="P641" s="178"/>
      <c r="Q641" s="71">
        <f t="shared" si="54"/>
        <v>9200</v>
      </c>
      <c r="R641" s="71">
        <f t="shared" si="55"/>
        <v>20</v>
      </c>
      <c r="S641" s="188">
        <f t="shared" si="56"/>
        <v>0.21739130434782608</v>
      </c>
    </row>
    <row r="642" spans="2:19" ht="12.75">
      <c r="B642" s="95">
        <f t="shared" si="57"/>
        <v>96</v>
      </c>
      <c r="C642" s="4"/>
      <c r="D642" s="4"/>
      <c r="E642" s="4"/>
      <c r="F642" s="32" t="s">
        <v>195</v>
      </c>
      <c r="G642" s="41">
        <v>637</v>
      </c>
      <c r="H642" s="4" t="s">
        <v>126</v>
      </c>
      <c r="I642" s="71">
        <v>4797</v>
      </c>
      <c r="J642" s="71">
        <v>2338</v>
      </c>
      <c r="K642" s="190">
        <f t="shared" si="53"/>
        <v>48.7387950802585</v>
      </c>
      <c r="L642" s="178"/>
      <c r="M642" s="71"/>
      <c r="N642" s="71"/>
      <c r="O642" s="189"/>
      <c r="P642" s="178"/>
      <c r="Q642" s="71">
        <f t="shared" si="54"/>
        <v>4797</v>
      </c>
      <c r="R642" s="71">
        <f t="shared" si="55"/>
        <v>2338</v>
      </c>
      <c r="S642" s="188">
        <f t="shared" si="56"/>
        <v>48.7387950802585</v>
      </c>
    </row>
    <row r="643" spans="2:19" ht="12.75">
      <c r="B643" s="95">
        <f t="shared" si="57"/>
        <v>97</v>
      </c>
      <c r="C643" s="3"/>
      <c r="D643" s="3"/>
      <c r="E643" s="3"/>
      <c r="F643" s="92" t="s">
        <v>195</v>
      </c>
      <c r="G643" s="93">
        <v>640</v>
      </c>
      <c r="H643" s="3" t="s">
        <v>132</v>
      </c>
      <c r="I643" s="70">
        <v>2056</v>
      </c>
      <c r="J643" s="70">
        <v>472</v>
      </c>
      <c r="K643" s="190">
        <f t="shared" si="53"/>
        <v>22.957198443579767</v>
      </c>
      <c r="L643" s="177"/>
      <c r="M643" s="70"/>
      <c r="N643" s="70"/>
      <c r="O643" s="189"/>
      <c r="P643" s="177"/>
      <c r="Q643" s="70">
        <f t="shared" si="54"/>
        <v>2056</v>
      </c>
      <c r="R643" s="70">
        <f t="shared" si="55"/>
        <v>472</v>
      </c>
      <c r="S643" s="188">
        <f t="shared" si="56"/>
        <v>22.957198443579767</v>
      </c>
    </row>
    <row r="644" spans="2:19" ht="12.75">
      <c r="B644" s="95">
        <f t="shared" si="57"/>
        <v>98</v>
      </c>
      <c r="C644" s="8"/>
      <c r="D644" s="8"/>
      <c r="E644" s="8" t="s">
        <v>101</v>
      </c>
      <c r="F644" s="37"/>
      <c r="G644" s="45"/>
      <c r="H644" s="8" t="s">
        <v>57</v>
      </c>
      <c r="I644" s="85">
        <f>I645+I646+I647+I652</f>
        <v>363394</v>
      </c>
      <c r="J644" s="85">
        <f>J645+J646+J647+J652</f>
        <v>134010</v>
      </c>
      <c r="K644" s="190">
        <f t="shared" si="53"/>
        <v>36.87732873960495</v>
      </c>
      <c r="L644" s="177"/>
      <c r="M644" s="85"/>
      <c r="N644" s="85"/>
      <c r="O644" s="189"/>
      <c r="P644" s="177"/>
      <c r="Q644" s="85">
        <f t="shared" si="54"/>
        <v>363394</v>
      </c>
      <c r="R644" s="85">
        <f t="shared" si="55"/>
        <v>134010</v>
      </c>
      <c r="S644" s="188">
        <f t="shared" si="56"/>
        <v>36.87732873960495</v>
      </c>
    </row>
    <row r="645" spans="2:19" ht="12.75">
      <c r="B645" s="95">
        <f t="shared" si="57"/>
        <v>99</v>
      </c>
      <c r="C645" s="3"/>
      <c r="D645" s="3"/>
      <c r="E645" s="3"/>
      <c r="F645" s="92" t="s">
        <v>195</v>
      </c>
      <c r="G645" s="93">
        <v>610</v>
      </c>
      <c r="H645" s="3" t="s">
        <v>134</v>
      </c>
      <c r="I645" s="70">
        <v>214493</v>
      </c>
      <c r="J645" s="70">
        <v>77796</v>
      </c>
      <c r="K645" s="190">
        <f t="shared" si="53"/>
        <v>36.269715095597526</v>
      </c>
      <c r="L645" s="177"/>
      <c r="M645" s="70"/>
      <c r="N645" s="70"/>
      <c r="O645" s="189"/>
      <c r="P645" s="177"/>
      <c r="Q645" s="70">
        <f t="shared" si="54"/>
        <v>214493</v>
      </c>
      <c r="R645" s="70">
        <f t="shared" si="55"/>
        <v>77796</v>
      </c>
      <c r="S645" s="188">
        <f t="shared" si="56"/>
        <v>36.269715095597526</v>
      </c>
    </row>
    <row r="646" spans="2:19" ht="12.75">
      <c r="B646" s="95">
        <f t="shared" si="57"/>
        <v>100</v>
      </c>
      <c r="C646" s="3"/>
      <c r="D646" s="3"/>
      <c r="E646" s="3"/>
      <c r="F646" s="92" t="s">
        <v>195</v>
      </c>
      <c r="G646" s="93">
        <v>620</v>
      </c>
      <c r="H646" s="3" t="s">
        <v>128</v>
      </c>
      <c r="I646" s="70">
        <v>79255</v>
      </c>
      <c r="J646" s="70">
        <v>27733</v>
      </c>
      <c r="K646" s="190">
        <f t="shared" si="53"/>
        <v>34.99211406220428</v>
      </c>
      <c r="L646" s="177"/>
      <c r="M646" s="70"/>
      <c r="N646" s="70"/>
      <c r="O646" s="189"/>
      <c r="P646" s="177"/>
      <c r="Q646" s="70">
        <f t="shared" si="54"/>
        <v>79255</v>
      </c>
      <c r="R646" s="70">
        <f t="shared" si="55"/>
        <v>27733</v>
      </c>
      <c r="S646" s="188">
        <f t="shared" si="56"/>
        <v>34.99211406220428</v>
      </c>
    </row>
    <row r="647" spans="2:19" ht="12.75">
      <c r="B647" s="95">
        <f t="shared" si="57"/>
        <v>101</v>
      </c>
      <c r="C647" s="3"/>
      <c r="D647" s="3"/>
      <c r="E647" s="3"/>
      <c r="F647" s="92" t="s">
        <v>195</v>
      </c>
      <c r="G647" s="93">
        <v>630</v>
      </c>
      <c r="H647" s="3" t="s">
        <v>125</v>
      </c>
      <c r="I647" s="70">
        <f>SUM(I648:I651)</f>
        <v>67593</v>
      </c>
      <c r="J647" s="70">
        <f>SUM(J648:J651)</f>
        <v>27231</v>
      </c>
      <c r="K647" s="190">
        <f t="shared" si="53"/>
        <v>40.286716080067464</v>
      </c>
      <c r="L647" s="177"/>
      <c r="M647" s="70"/>
      <c r="N647" s="70"/>
      <c r="O647" s="189"/>
      <c r="P647" s="177"/>
      <c r="Q647" s="70">
        <f t="shared" si="54"/>
        <v>67593</v>
      </c>
      <c r="R647" s="70">
        <f t="shared" si="55"/>
        <v>27231</v>
      </c>
      <c r="S647" s="188">
        <f t="shared" si="56"/>
        <v>40.286716080067464</v>
      </c>
    </row>
    <row r="648" spans="2:19" ht="12.75">
      <c r="B648" s="95">
        <f t="shared" si="57"/>
        <v>102</v>
      </c>
      <c r="C648" s="4"/>
      <c r="D648" s="4"/>
      <c r="E648" s="4"/>
      <c r="F648" s="32" t="s">
        <v>195</v>
      </c>
      <c r="G648" s="41">
        <v>632</v>
      </c>
      <c r="H648" s="4" t="s">
        <v>138</v>
      </c>
      <c r="I648" s="71">
        <v>39690</v>
      </c>
      <c r="J648" s="71">
        <v>18218</v>
      </c>
      <c r="K648" s="190">
        <f t="shared" si="53"/>
        <v>45.900730662635425</v>
      </c>
      <c r="L648" s="178"/>
      <c r="M648" s="71"/>
      <c r="N648" s="71"/>
      <c r="O648" s="189"/>
      <c r="P648" s="178"/>
      <c r="Q648" s="71">
        <f t="shared" si="54"/>
        <v>39690</v>
      </c>
      <c r="R648" s="71">
        <f t="shared" si="55"/>
        <v>18218</v>
      </c>
      <c r="S648" s="188">
        <f t="shared" si="56"/>
        <v>45.900730662635425</v>
      </c>
    </row>
    <row r="649" spans="2:19" ht="12.75">
      <c r="B649" s="95">
        <f t="shared" si="57"/>
        <v>103</v>
      </c>
      <c r="C649" s="4"/>
      <c r="D649" s="4"/>
      <c r="E649" s="4"/>
      <c r="F649" s="32" t="s">
        <v>195</v>
      </c>
      <c r="G649" s="41">
        <v>633</v>
      </c>
      <c r="H649" s="4" t="s">
        <v>129</v>
      </c>
      <c r="I649" s="71">
        <f>19220-1904+2</f>
        <v>17318</v>
      </c>
      <c r="J649" s="71">
        <v>6701</v>
      </c>
      <c r="K649" s="190">
        <f t="shared" si="53"/>
        <v>38.693844554798474</v>
      </c>
      <c r="L649" s="178"/>
      <c r="M649" s="71"/>
      <c r="N649" s="71"/>
      <c r="O649" s="189"/>
      <c r="P649" s="178"/>
      <c r="Q649" s="71">
        <f t="shared" si="54"/>
        <v>17318</v>
      </c>
      <c r="R649" s="71">
        <f t="shared" si="55"/>
        <v>6701</v>
      </c>
      <c r="S649" s="188">
        <f t="shared" si="56"/>
        <v>38.693844554798474</v>
      </c>
    </row>
    <row r="650" spans="2:19" ht="12.75">
      <c r="B650" s="95">
        <f t="shared" si="57"/>
        <v>104</v>
      </c>
      <c r="C650" s="4"/>
      <c r="D650" s="4"/>
      <c r="E650" s="4"/>
      <c r="F650" s="32" t="s">
        <v>195</v>
      </c>
      <c r="G650" s="41">
        <v>635</v>
      </c>
      <c r="H650" s="4" t="s">
        <v>136</v>
      </c>
      <c r="I650" s="71">
        <v>5200</v>
      </c>
      <c r="J650" s="71">
        <v>318</v>
      </c>
      <c r="K650" s="190">
        <f t="shared" si="53"/>
        <v>6.115384615384616</v>
      </c>
      <c r="L650" s="178"/>
      <c r="M650" s="71"/>
      <c r="N650" s="71"/>
      <c r="O650" s="189"/>
      <c r="P650" s="178"/>
      <c r="Q650" s="71">
        <f t="shared" si="54"/>
        <v>5200</v>
      </c>
      <c r="R650" s="71">
        <f t="shared" si="55"/>
        <v>318</v>
      </c>
      <c r="S650" s="188">
        <f t="shared" si="56"/>
        <v>6.115384615384616</v>
      </c>
    </row>
    <row r="651" spans="2:19" ht="12.75">
      <c r="B651" s="95">
        <f t="shared" si="57"/>
        <v>105</v>
      </c>
      <c r="C651" s="4"/>
      <c r="D651" s="4"/>
      <c r="E651" s="4"/>
      <c r="F651" s="32" t="s">
        <v>195</v>
      </c>
      <c r="G651" s="41">
        <v>637</v>
      </c>
      <c r="H651" s="4" t="s">
        <v>126</v>
      </c>
      <c r="I651" s="71">
        <v>5385</v>
      </c>
      <c r="J651" s="71">
        <v>1994</v>
      </c>
      <c r="K651" s="190">
        <f t="shared" si="53"/>
        <v>37.02878365831012</v>
      </c>
      <c r="L651" s="178"/>
      <c r="M651" s="71"/>
      <c r="N651" s="71"/>
      <c r="O651" s="189"/>
      <c r="P651" s="178"/>
      <c r="Q651" s="71">
        <f t="shared" si="54"/>
        <v>5385</v>
      </c>
      <c r="R651" s="71">
        <f t="shared" si="55"/>
        <v>1994</v>
      </c>
      <c r="S651" s="188">
        <f t="shared" si="56"/>
        <v>37.02878365831012</v>
      </c>
    </row>
    <row r="652" spans="2:19" ht="12.75">
      <c r="B652" s="95">
        <f t="shared" si="57"/>
        <v>106</v>
      </c>
      <c r="C652" s="3"/>
      <c r="D652" s="3"/>
      <c r="E652" s="3"/>
      <c r="F652" s="92" t="s">
        <v>195</v>
      </c>
      <c r="G652" s="93">
        <v>640</v>
      </c>
      <c r="H652" s="3" t="s">
        <v>132</v>
      </c>
      <c r="I652" s="70">
        <v>2053</v>
      </c>
      <c r="J652" s="70">
        <v>1250</v>
      </c>
      <c r="K652" s="190">
        <f t="shared" si="53"/>
        <v>60.88650754992694</v>
      </c>
      <c r="L652" s="177"/>
      <c r="M652" s="70"/>
      <c r="N652" s="70"/>
      <c r="O652" s="189"/>
      <c r="P652" s="177"/>
      <c r="Q652" s="70">
        <f t="shared" si="54"/>
        <v>2053</v>
      </c>
      <c r="R652" s="70">
        <f t="shared" si="55"/>
        <v>1250</v>
      </c>
      <c r="S652" s="188">
        <f t="shared" si="56"/>
        <v>60.88650754992694</v>
      </c>
    </row>
    <row r="653" spans="2:19" ht="12.75">
      <c r="B653" s="95">
        <f t="shared" si="57"/>
        <v>107</v>
      </c>
      <c r="C653" s="8"/>
      <c r="D653" s="8"/>
      <c r="E653" s="8" t="s">
        <v>97</v>
      </c>
      <c r="F653" s="37"/>
      <c r="G653" s="45"/>
      <c r="H653" s="8" t="s">
        <v>63</v>
      </c>
      <c r="I653" s="85">
        <f>I654+I655+I656</f>
        <v>369661</v>
      </c>
      <c r="J653" s="85">
        <f>J654+J655+J656</f>
        <v>140611</v>
      </c>
      <c r="K653" s="190">
        <f t="shared" si="53"/>
        <v>38.03782384400843</v>
      </c>
      <c r="L653" s="177"/>
      <c r="M653" s="85"/>
      <c r="N653" s="85"/>
      <c r="O653" s="189"/>
      <c r="P653" s="177"/>
      <c r="Q653" s="85">
        <f t="shared" si="54"/>
        <v>369661</v>
      </c>
      <c r="R653" s="85">
        <f t="shared" si="55"/>
        <v>140611</v>
      </c>
      <c r="S653" s="188">
        <f t="shared" si="56"/>
        <v>38.03782384400843</v>
      </c>
    </row>
    <row r="654" spans="2:19" ht="12.75">
      <c r="B654" s="95">
        <f t="shared" si="57"/>
        <v>108</v>
      </c>
      <c r="C654" s="3"/>
      <c r="D654" s="3"/>
      <c r="E654" s="3"/>
      <c r="F654" s="92" t="s">
        <v>195</v>
      </c>
      <c r="G654" s="93">
        <v>610</v>
      </c>
      <c r="H654" s="3" t="s">
        <v>134</v>
      </c>
      <c r="I654" s="70">
        <v>215268</v>
      </c>
      <c r="J654" s="70">
        <v>87450</v>
      </c>
      <c r="K654" s="190">
        <f t="shared" si="53"/>
        <v>40.623780589776466</v>
      </c>
      <c r="L654" s="177"/>
      <c r="M654" s="70"/>
      <c r="N654" s="70"/>
      <c r="O654" s="189"/>
      <c r="P654" s="177"/>
      <c r="Q654" s="70">
        <f t="shared" si="54"/>
        <v>215268</v>
      </c>
      <c r="R654" s="70">
        <f t="shared" si="55"/>
        <v>87450</v>
      </c>
      <c r="S654" s="188">
        <f t="shared" si="56"/>
        <v>40.623780589776466</v>
      </c>
    </row>
    <row r="655" spans="2:19" ht="12.75">
      <c r="B655" s="95">
        <f t="shared" si="57"/>
        <v>109</v>
      </c>
      <c r="C655" s="3"/>
      <c r="D655" s="3"/>
      <c r="E655" s="3"/>
      <c r="F655" s="92" t="s">
        <v>195</v>
      </c>
      <c r="G655" s="93">
        <v>620</v>
      </c>
      <c r="H655" s="3" t="s">
        <v>128</v>
      </c>
      <c r="I655" s="70">
        <v>79542</v>
      </c>
      <c r="J655" s="70">
        <v>32036</v>
      </c>
      <c r="K655" s="190">
        <f t="shared" si="53"/>
        <v>40.275577682230775</v>
      </c>
      <c r="L655" s="177"/>
      <c r="M655" s="70"/>
      <c r="N655" s="70"/>
      <c r="O655" s="189"/>
      <c r="P655" s="177"/>
      <c r="Q655" s="70">
        <f t="shared" si="54"/>
        <v>79542</v>
      </c>
      <c r="R655" s="70">
        <f t="shared" si="55"/>
        <v>32036</v>
      </c>
      <c r="S655" s="188">
        <f t="shared" si="56"/>
        <v>40.275577682230775</v>
      </c>
    </row>
    <row r="656" spans="2:19" ht="12.75">
      <c r="B656" s="95">
        <f t="shared" si="57"/>
        <v>110</v>
      </c>
      <c r="C656" s="3"/>
      <c r="D656" s="3"/>
      <c r="E656" s="3"/>
      <c r="F656" s="92" t="s">
        <v>195</v>
      </c>
      <c r="G656" s="93">
        <v>630</v>
      </c>
      <c r="H656" s="3" t="s">
        <v>125</v>
      </c>
      <c r="I656" s="70">
        <f>SUM(I657:I660)</f>
        <v>74851</v>
      </c>
      <c r="J656" s="70">
        <f>SUM(J657:J660)</f>
        <v>21125</v>
      </c>
      <c r="K656" s="190">
        <f t="shared" si="53"/>
        <v>28.22273583519258</v>
      </c>
      <c r="L656" s="177"/>
      <c r="M656" s="70"/>
      <c r="N656" s="70"/>
      <c r="O656" s="189"/>
      <c r="P656" s="177"/>
      <c r="Q656" s="70">
        <f t="shared" si="54"/>
        <v>74851</v>
      </c>
      <c r="R656" s="70">
        <f t="shared" si="55"/>
        <v>21125</v>
      </c>
      <c r="S656" s="188">
        <f t="shared" si="56"/>
        <v>28.22273583519258</v>
      </c>
    </row>
    <row r="657" spans="2:19" ht="12.75">
      <c r="B657" s="95">
        <f t="shared" si="57"/>
        <v>111</v>
      </c>
      <c r="C657" s="4"/>
      <c r="D657" s="4"/>
      <c r="E657" s="4"/>
      <c r="F657" s="32" t="s">
        <v>195</v>
      </c>
      <c r="G657" s="41">
        <v>632</v>
      </c>
      <c r="H657" s="4" t="s">
        <v>138</v>
      </c>
      <c r="I657" s="71">
        <v>28740</v>
      </c>
      <c r="J657" s="71">
        <v>13918</v>
      </c>
      <c r="K657" s="190">
        <f t="shared" si="53"/>
        <v>48.42727905358385</v>
      </c>
      <c r="L657" s="178"/>
      <c r="M657" s="71"/>
      <c r="N657" s="71"/>
      <c r="O657" s="189"/>
      <c r="P657" s="178"/>
      <c r="Q657" s="71">
        <f t="shared" si="54"/>
        <v>28740</v>
      </c>
      <c r="R657" s="71">
        <f t="shared" si="55"/>
        <v>13918</v>
      </c>
      <c r="S657" s="188">
        <f t="shared" si="56"/>
        <v>48.42727905358385</v>
      </c>
    </row>
    <row r="658" spans="2:19" ht="12.75">
      <c r="B658" s="95">
        <f t="shared" si="57"/>
        <v>112</v>
      </c>
      <c r="C658" s="4"/>
      <c r="D658" s="4"/>
      <c r="E658" s="4"/>
      <c r="F658" s="32" t="s">
        <v>195</v>
      </c>
      <c r="G658" s="41">
        <v>633</v>
      </c>
      <c r="H658" s="4" t="s">
        <v>129</v>
      </c>
      <c r="I658" s="71">
        <f>19353-2112-170</f>
        <v>17071</v>
      </c>
      <c r="J658" s="71">
        <v>4681</v>
      </c>
      <c r="K658" s="190">
        <f t="shared" si="53"/>
        <v>27.420772069591703</v>
      </c>
      <c r="L658" s="178"/>
      <c r="M658" s="71"/>
      <c r="N658" s="71"/>
      <c r="O658" s="189"/>
      <c r="P658" s="178"/>
      <c r="Q658" s="71">
        <f t="shared" si="54"/>
        <v>17071</v>
      </c>
      <c r="R658" s="71">
        <f t="shared" si="55"/>
        <v>4681</v>
      </c>
      <c r="S658" s="188">
        <f t="shared" si="56"/>
        <v>27.420772069591703</v>
      </c>
    </row>
    <row r="659" spans="2:19" ht="12.75">
      <c r="B659" s="95">
        <f t="shared" si="57"/>
        <v>113</v>
      </c>
      <c r="C659" s="4"/>
      <c r="D659" s="4"/>
      <c r="E659" s="4"/>
      <c r="F659" s="32" t="s">
        <v>195</v>
      </c>
      <c r="G659" s="41">
        <v>635</v>
      </c>
      <c r="H659" s="4" t="s">
        <v>136</v>
      </c>
      <c r="I659" s="71">
        <v>23000</v>
      </c>
      <c r="J659" s="71">
        <v>553</v>
      </c>
      <c r="K659" s="190">
        <f t="shared" si="53"/>
        <v>2.4043478260869566</v>
      </c>
      <c r="L659" s="178"/>
      <c r="M659" s="71"/>
      <c r="N659" s="71"/>
      <c r="O659" s="189"/>
      <c r="P659" s="178"/>
      <c r="Q659" s="71">
        <f t="shared" si="54"/>
        <v>23000</v>
      </c>
      <c r="R659" s="71">
        <f t="shared" si="55"/>
        <v>553</v>
      </c>
      <c r="S659" s="188">
        <f t="shared" si="56"/>
        <v>2.4043478260869566</v>
      </c>
    </row>
    <row r="660" spans="2:19" ht="12.75">
      <c r="B660" s="95">
        <f t="shared" si="57"/>
        <v>114</v>
      </c>
      <c r="C660" s="4"/>
      <c r="D660" s="4"/>
      <c r="E660" s="4"/>
      <c r="F660" s="32" t="s">
        <v>195</v>
      </c>
      <c r="G660" s="41">
        <v>637</v>
      </c>
      <c r="H660" s="4" t="s">
        <v>126</v>
      </c>
      <c r="I660" s="71">
        <v>6040</v>
      </c>
      <c r="J660" s="71">
        <v>1973</v>
      </c>
      <c r="K660" s="190">
        <f t="shared" si="53"/>
        <v>32.66556291390729</v>
      </c>
      <c r="L660" s="178"/>
      <c r="M660" s="71"/>
      <c r="N660" s="71"/>
      <c r="O660" s="189"/>
      <c r="P660" s="178"/>
      <c r="Q660" s="71">
        <f t="shared" si="54"/>
        <v>6040</v>
      </c>
      <c r="R660" s="71">
        <f t="shared" si="55"/>
        <v>1973</v>
      </c>
      <c r="S660" s="188">
        <f t="shared" si="56"/>
        <v>32.66556291390729</v>
      </c>
    </row>
    <row r="661" spans="2:19" ht="12.75">
      <c r="B661" s="95">
        <f t="shared" si="57"/>
        <v>115</v>
      </c>
      <c r="C661" s="8"/>
      <c r="D661" s="8"/>
      <c r="E661" s="8" t="s">
        <v>100</v>
      </c>
      <c r="F661" s="37"/>
      <c r="G661" s="45"/>
      <c r="H661" s="8" t="s">
        <v>64</v>
      </c>
      <c r="I661" s="85">
        <f>I662+I663+I664+I669</f>
        <v>234641</v>
      </c>
      <c r="J661" s="85">
        <f>J662+J663+J664+J669</f>
        <v>93506</v>
      </c>
      <c r="K661" s="190">
        <f t="shared" si="53"/>
        <v>39.85066548471921</v>
      </c>
      <c r="L661" s="177"/>
      <c r="M661" s="85"/>
      <c r="N661" s="85"/>
      <c r="O661" s="189"/>
      <c r="P661" s="177"/>
      <c r="Q661" s="85">
        <f t="shared" si="54"/>
        <v>234641</v>
      </c>
      <c r="R661" s="85">
        <f t="shared" si="55"/>
        <v>93506</v>
      </c>
      <c r="S661" s="188">
        <f t="shared" si="56"/>
        <v>39.85066548471921</v>
      </c>
    </row>
    <row r="662" spans="2:19" ht="12.75">
      <c r="B662" s="95">
        <f t="shared" si="57"/>
        <v>116</v>
      </c>
      <c r="C662" s="3"/>
      <c r="D662" s="3"/>
      <c r="E662" s="3"/>
      <c r="F662" s="92" t="s">
        <v>195</v>
      </c>
      <c r="G662" s="93">
        <v>610</v>
      </c>
      <c r="H662" s="3" t="s">
        <v>134</v>
      </c>
      <c r="I662" s="70">
        <v>141494</v>
      </c>
      <c r="J662" s="70">
        <v>58810</v>
      </c>
      <c r="K662" s="190">
        <f t="shared" si="53"/>
        <v>41.56359986995915</v>
      </c>
      <c r="L662" s="177"/>
      <c r="M662" s="70"/>
      <c r="N662" s="70"/>
      <c r="O662" s="189"/>
      <c r="P662" s="177"/>
      <c r="Q662" s="70">
        <f t="shared" si="54"/>
        <v>141494</v>
      </c>
      <c r="R662" s="70">
        <f t="shared" si="55"/>
        <v>58810</v>
      </c>
      <c r="S662" s="188">
        <f t="shared" si="56"/>
        <v>41.56359986995915</v>
      </c>
    </row>
    <row r="663" spans="2:19" ht="12.75">
      <c r="B663" s="95">
        <f t="shared" si="57"/>
        <v>117</v>
      </c>
      <c r="C663" s="3"/>
      <c r="D663" s="3"/>
      <c r="E663" s="3"/>
      <c r="F663" s="92" t="s">
        <v>195</v>
      </c>
      <c r="G663" s="93">
        <v>620</v>
      </c>
      <c r="H663" s="3" t="s">
        <v>128</v>
      </c>
      <c r="I663" s="70">
        <v>52282</v>
      </c>
      <c r="J663" s="70">
        <v>21590</v>
      </c>
      <c r="K663" s="190">
        <f t="shared" si="53"/>
        <v>41.29528327148923</v>
      </c>
      <c r="L663" s="177"/>
      <c r="M663" s="70"/>
      <c r="N663" s="70"/>
      <c r="O663" s="189"/>
      <c r="P663" s="177"/>
      <c r="Q663" s="70">
        <f t="shared" si="54"/>
        <v>52282</v>
      </c>
      <c r="R663" s="70">
        <f t="shared" si="55"/>
        <v>21590</v>
      </c>
      <c r="S663" s="188">
        <f t="shared" si="56"/>
        <v>41.29528327148923</v>
      </c>
    </row>
    <row r="664" spans="2:19" ht="12.75">
      <c r="B664" s="95">
        <f t="shared" si="57"/>
        <v>118</v>
      </c>
      <c r="C664" s="3"/>
      <c r="D664" s="3"/>
      <c r="E664" s="3"/>
      <c r="F664" s="92" t="s">
        <v>195</v>
      </c>
      <c r="G664" s="93">
        <v>630</v>
      </c>
      <c r="H664" s="3" t="s">
        <v>125</v>
      </c>
      <c r="I664" s="70">
        <f>SUM(I665:I668)</f>
        <v>38130</v>
      </c>
      <c r="J664" s="70">
        <f>SUM(J665:J668)</f>
        <v>13106</v>
      </c>
      <c r="K664" s="190">
        <f t="shared" si="53"/>
        <v>34.37188565434041</v>
      </c>
      <c r="L664" s="177"/>
      <c r="M664" s="70"/>
      <c r="N664" s="70"/>
      <c r="O664" s="189"/>
      <c r="P664" s="177"/>
      <c r="Q664" s="70">
        <f t="shared" si="54"/>
        <v>38130</v>
      </c>
      <c r="R664" s="70">
        <f t="shared" si="55"/>
        <v>13106</v>
      </c>
      <c r="S664" s="188">
        <f t="shared" si="56"/>
        <v>34.37188565434041</v>
      </c>
    </row>
    <row r="665" spans="2:19" ht="12.75">
      <c r="B665" s="95">
        <f t="shared" si="57"/>
        <v>119</v>
      </c>
      <c r="C665" s="4"/>
      <c r="D665" s="4"/>
      <c r="E665" s="4"/>
      <c r="F665" s="32" t="s">
        <v>195</v>
      </c>
      <c r="G665" s="41">
        <v>632</v>
      </c>
      <c r="H665" s="4" t="s">
        <v>138</v>
      </c>
      <c r="I665" s="71">
        <v>15600</v>
      </c>
      <c r="J665" s="71">
        <v>7152</v>
      </c>
      <c r="K665" s="190">
        <f t="shared" si="53"/>
        <v>45.84615384615385</v>
      </c>
      <c r="L665" s="178"/>
      <c r="M665" s="71"/>
      <c r="N665" s="71"/>
      <c r="O665" s="189"/>
      <c r="P665" s="178"/>
      <c r="Q665" s="71">
        <f t="shared" si="54"/>
        <v>15600</v>
      </c>
      <c r="R665" s="71">
        <f t="shared" si="55"/>
        <v>7152</v>
      </c>
      <c r="S665" s="188">
        <f t="shared" si="56"/>
        <v>45.84615384615385</v>
      </c>
    </row>
    <row r="666" spans="2:19" ht="12.75">
      <c r="B666" s="95">
        <f t="shared" si="57"/>
        <v>120</v>
      </c>
      <c r="C666" s="4"/>
      <c r="D666" s="4"/>
      <c r="E666" s="4"/>
      <c r="F666" s="32" t="s">
        <v>195</v>
      </c>
      <c r="G666" s="41">
        <v>633</v>
      </c>
      <c r="H666" s="4" t="s">
        <v>129</v>
      </c>
      <c r="I666" s="71">
        <f>14332-1168+1</f>
        <v>13165</v>
      </c>
      <c r="J666" s="71">
        <v>2004</v>
      </c>
      <c r="K666" s="190">
        <f t="shared" si="53"/>
        <v>15.222180022787695</v>
      </c>
      <c r="L666" s="178"/>
      <c r="M666" s="71"/>
      <c r="N666" s="71"/>
      <c r="O666" s="189"/>
      <c r="P666" s="178"/>
      <c r="Q666" s="71">
        <f t="shared" si="54"/>
        <v>13165</v>
      </c>
      <c r="R666" s="71">
        <f t="shared" si="55"/>
        <v>2004</v>
      </c>
      <c r="S666" s="188">
        <f t="shared" si="56"/>
        <v>15.222180022787695</v>
      </c>
    </row>
    <row r="667" spans="2:19" ht="12.75">
      <c r="B667" s="95">
        <f t="shared" si="57"/>
        <v>121</v>
      </c>
      <c r="C667" s="4"/>
      <c r="D667" s="4"/>
      <c r="E667" s="4"/>
      <c r="F667" s="32" t="s">
        <v>195</v>
      </c>
      <c r="G667" s="41">
        <v>635</v>
      </c>
      <c r="H667" s="4" t="s">
        <v>136</v>
      </c>
      <c r="I667" s="71">
        <v>5200</v>
      </c>
      <c r="J667" s="71">
        <v>2525</v>
      </c>
      <c r="K667" s="190">
        <f t="shared" si="53"/>
        <v>48.55769230769231</v>
      </c>
      <c r="L667" s="178"/>
      <c r="M667" s="71"/>
      <c r="N667" s="71"/>
      <c r="O667" s="189"/>
      <c r="P667" s="178"/>
      <c r="Q667" s="71">
        <f t="shared" si="54"/>
        <v>5200</v>
      </c>
      <c r="R667" s="71">
        <f t="shared" si="55"/>
        <v>2525</v>
      </c>
      <c r="S667" s="188">
        <f t="shared" si="56"/>
        <v>48.55769230769231</v>
      </c>
    </row>
    <row r="668" spans="2:19" ht="12.75">
      <c r="B668" s="95">
        <f t="shared" si="57"/>
        <v>122</v>
      </c>
      <c r="C668" s="4"/>
      <c r="D668" s="4"/>
      <c r="E668" s="4"/>
      <c r="F668" s="32" t="s">
        <v>195</v>
      </c>
      <c r="G668" s="41">
        <v>637</v>
      </c>
      <c r="H668" s="4" t="s">
        <v>126</v>
      </c>
      <c r="I668" s="71">
        <v>4165</v>
      </c>
      <c r="J668" s="71">
        <v>1425</v>
      </c>
      <c r="K668" s="190">
        <f t="shared" si="53"/>
        <v>34.213685474189674</v>
      </c>
      <c r="L668" s="178"/>
      <c r="M668" s="71"/>
      <c r="N668" s="71"/>
      <c r="O668" s="189"/>
      <c r="P668" s="178"/>
      <c r="Q668" s="71">
        <f t="shared" si="54"/>
        <v>4165</v>
      </c>
      <c r="R668" s="71">
        <f t="shared" si="55"/>
        <v>1425</v>
      </c>
      <c r="S668" s="188">
        <f t="shared" si="56"/>
        <v>34.213685474189674</v>
      </c>
    </row>
    <row r="669" spans="2:19" ht="12.75">
      <c r="B669" s="95">
        <f t="shared" si="57"/>
        <v>123</v>
      </c>
      <c r="C669" s="3"/>
      <c r="D669" s="3"/>
      <c r="E669" s="3"/>
      <c r="F669" s="92" t="s">
        <v>195</v>
      </c>
      <c r="G669" s="93">
        <v>640</v>
      </c>
      <c r="H669" s="3" t="s">
        <v>132</v>
      </c>
      <c r="I669" s="70">
        <v>2735</v>
      </c>
      <c r="J669" s="70">
        <v>0</v>
      </c>
      <c r="K669" s="190">
        <f t="shared" si="53"/>
        <v>0</v>
      </c>
      <c r="L669" s="177"/>
      <c r="M669" s="70"/>
      <c r="N669" s="70"/>
      <c r="O669" s="189"/>
      <c r="P669" s="177"/>
      <c r="Q669" s="70">
        <f t="shared" si="54"/>
        <v>2735</v>
      </c>
      <c r="R669" s="70">
        <f t="shared" si="55"/>
        <v>0</v>
      </c>
      <c r="S669" s="188">
        <f t="shared" si="56"/>
        <v>0</v>
      </c>
    </row>
    <row r="670" spans="2:19" ht="12.75">
      <c r="B670" s="95">
        <f t="shared" si="57"/>
        <v>124</v>
      </c>
      <c r="C670" s="8"/>
      <c r="D670" s="8"/>
      <c r="E670" s="8" t="s">
        <v>93</v>
      </c>
      <c r="F670" s="37"/>
      <c r="G670" s="45"/>
      <c r="H670" s="8" t="s">
        <v>94</v>
      </c>
      <c r="I670" s="85">
        <f>I671+I672+I673+I678</f>
        <v>116906</v>
      </c>
      <c r="J670" s="85">
        <f>J671+J672+J673+J678</f>
        <v>45834</v>
      </c>
      <c r="K670" s="190">
        <f t="shared" si="53"/>
        <v>39.20585769763742</v>
      </c>
      <c r="L670" s="177"/>
      <c r="M670" s="85"/>
      <c r="N670" s="85"/>
      <c r="O670" s="189"/>
      <c r="P670" s="177"/>
      <c r="Q670" s="85">
        <f t="shared" si="54"/>
        <v>116906</v>
      </c>
      <c r="R670" s="85">
        <f t="shared" si="55"/>
        <v>45834</v>
      </c>
      <c r="S670" s="188">
        <f t="shared" si="56"/>
        <v>39.20585769763742</v>
      </c>
    </row>
    <row r="671" spans="2:19" ht="12.75">
      <c r="B671" s="95">
        <f t="shared" si="57"/>
        <v>125</v>
      </c>
      <c r="C671" s="3"/>
      <c r="D671" s="3"/>
      <c r="E671" s="3"/>
      <c r="F671" s="92" t="s">
        <v>195</v>
      </c>
      <c r="G671" s="93">
        <v>610</v>
      </c>
      <c r="H671" s="3" t="s">
        <v>134</v>
      </c>
      <c r="I671" s="70">
        <v>71142</v>
      </c>
      <c r="J671" s="70">
        <v>28948</v>
      </c>
      <c r="K671" s="190">
        <f t="shared" si="53"/>
        <v>40.690450085744004</v>
      </c>
      <c r="L671" s="177"/>
      <c r="M671" s="70"/>
      <c r="N671" s="70"/>
      <c r="O671" s="189"/>
      <c r="P671" s="177"/>
      <c r="Q671" s="70">
        <f t="shared" si="54"/>
        <v>71142</v>
      </c>
      <c r="R671" s="70">
        <f t="shared" si="55"/>
        <v>28948</v>
      </c>
      <c r="S671" s="188">
        <f t="shared" si="56"/>
        <v>40.690450085744004</v>
      </c>
    </row>
    <row r="672" spans="2:19" ht="12.75">
      <c r="B672" s="95">
        <f t="shared" si="57"/>
        <v>126</v>
      </c>
      <c r="C672" s="3"/>
      <c r="D672" s="3"/>
      <c r="E672" s="3"/>
      <c r="F672" s="92" t="s">
        <v>195</v>
      </c>
      <c r="G672" s="93">
        <v>620</v>
      </c>
      <c r="H672" s="3" t="s">
        <v>128</v>
      </c>
      <c r="I672" s="70">
        <v>26287</v>
      </c>
      <c r="J672" s="70">
        <v>9691</v>
      </c>
      <c r="K672" s="190">
        <f t="shared" si="53"/>
        <v>36.86613154791342</v>
      </c>
      <c r="L672" s="177"/>
      <c r="M672" s="70"/>
      <c r="N672" s="70"/>
      <c r="O672" s="189"/>
      <c r="P672" s="177"/>
      <c r="Q672" s="70">
        <f t="shared" si="54"/>
        <v>26287</v>
      </c>
      <c r="R672" s="70">
        <f t="shared" si="55"/>
        <v>9691</v>
      </c>
      <c r="S672" s="188">
        <f t="shared" si="56"/>
        <v>36.86613154791342</v>
      </c>
    </row>
    <row r="673" spans="2:19" ht="12.75">
      <c r="B673" s="95">
        <f t="shared" si="57"/>
        <v>127</v>
      </c>
      <c r="C673" s="3"/>
      <c r="D673" s="3"/>
      <c r="E673" s="3"/>
      <c r="F673" s="92" t="s">
        <v>195</v>
      </c>
      <c r="G673" s="93">
        <v>630</v>
      </c>
      <c r="H673" s="3" t="s">
        <v>125</v>
      </c>
      <c r="I673" s="70">
        <f>SUM(I674:I677)</f>
        <v>17523</v>
      </c>
      <c r="J673" s="70">
        <f>SUM(J674:J677)</f>
        <v>7120</v>
      </c>
      <c r="K673" s="190">
        <f t="shared" si="53"/>
        <v>40.6323118187525</v>
      </c>
      <c r="L673" s="177"/>
      <c r="M673" s="70"/>
      <c r="N673" s="70"/>
      <c r="O673" s="189"/>
      <c r="P673" s="177"/>
      <c r="Q673" s="70">
        <f t="shared" si="54"/>
        <v>17523</v>
      </c>
      <c r="R673" s="70">
        <f t="shared" si="55"/>
        <v>7120</v>
      </c>
      <c r="S673" s="188">
        <f t="shared" si="56"/>
        <v>40.6323118187525</v>
      </c>
    </row>
    <row r="674" spans="2:19" ht="12.75">
      <c r="B674" s="95">
        <f t="shared" si="57"/>
        <v>128</v>
      </c>
      <c r="C674" s="4"/>
      <c r="D674" s="4"/>
      <c r="E674" s="4"/>
      <c r="F674" s="32" t="s">
        <v>195</v>
      </c>
      <c r="G674" s="41">
        <v>632</v>
      </c>
      <c r="H674" s="4" t="s">
        <v>138</v>
      </c>
      <c r="I674" s="71">
        <v>6955</v>
      </c>
      <c r="J674" s="71">
        <v>3745</v>
      </c>
      <c r="K674" s="190">
        <f t="shared" si="53"/>
        <v>53.84615384615385</v>
      </c>
      <c r="L674" s="178"/>
      <c r="M674" s="71"/>
      <c r="N674" s="71"/>
      <c r="O674" s="189"/>
      <c r="P674" s="178"/>
      <c r="Q674" s="71">
        <f t="shared" si="54"/>
        <v>6955</v>
      </c>
      <c r="R674" s="71">
        <f t="shared" si="55"/>
        <v>3745</v>
      </c>
      <c r="S674" s="188">
        <f t="shared" si="56"/>
        <v>53.84615384615385</v>
      </c>
    </row>
    <row r="675" spans="2:19" ht="12.75">
      <c r="B675" s="95">
        <f t="shared" si="57"/>
        <v>129</v>
      </c>
      <c r="C675" s="4"/>
      <c r="D675" s="4"/>
      <c r="E675" s="4"/>
      <c r="F675" s="32" t="s">
        <v>195</v>
      </c>
      <c r="G675" s="41">
        <v>633</v>
      </c>
      <c r="H675" s="4" t="s">
        <v>129</v>
      </c>
      <c r="I675" s="71">
        <f>7022-544+1</f>
        <v>6479</v>
      </c>
      <c r="J675" s="71">
        <v>1848</v>
      </c>
      <c r="K675" s="190">
        <f aca="true" t="shared" si="58" ref="K675:K739">J675/I675*100</f>
        <v>28.522920203735147</v>
      </c>
      <c r="L675" s="178"/>
      <c r="M675" s="71"/>
      <c r="N675" s="71"/>
      <c r="O675" s="189"/>
      <c r="P675" s="178"/>
      <c r="Q675" s="71">
        <f aca="true" t="shared" si="59" ref="Q675:Q739">M675+I675</f>
        <v>6479</v>
      </c>
      <c r="R675" s="71">
        <f aca="true" t="shared" si="60" ref="R675:R739">N675+J675</f>
        <v>1848</v>
      </c>
      <c r="S675" s="188">
        <f aca="true" t="shared" si="61" ref="S675:S739">R675/Q675*100</f>
        <v>28.522920203735147</v>
      </c>
    </row>
    <row r="676" spans="2:19" ht="12.75">
      <c r="B676" s="95">
        <f t="shared" si="57"/>
        <v>130</v>
      </c>
      <c r="C676" s="4"/>
      <c r="D676" s="4"/>
      <c r="E676" s="4"/>
      <c r="F676" s="32" t="s">
        <v>195</v>
      </c>
      <c r="G676" s="41">
        <v>635</v>
      </c>
      <c r="H676" s="4" t="s">
        <v>136</v>
      </c>
      <c r="I676" s="71">
        <v>1500</v>
      </c>
      <c r="J676" s="71">
        <v>672</v>
      </c>
      <c r="K676" s="190">
        <f t="shared" si="58"/>
        <v>44.800000000000004</v>
      </c>
      <c r="L676" s="178"/>
      <c r="M676" s="71"/>
      <c r="N676" s="71"/>
      <c r="O676" s="189"/>
      <c r="P676" s="178"/>
      <c r="Q676" s="71">
        <f t="shared" si="59"/>
        <v>1500</v>
      </c>
      <c r="R676" s="71">
        <f t="shared" si="60"/>
        <v>672</v>
      </c>
      <c r="S676" s="188">
        <f t="shared" si="61"/>
        <v>44.800000000000004</v>
      </c>
    </row>
    <row r="677" spans="2:19" ht="12.75">
      <c r="B677" s="95">
        <f aca="true" t="shared" si="62" ref="B677:B741">B676+1</f>
        <v>131</v>
      </c>
      <c r="C677" s="4"/>
      <c r="D677" s="4"/>
      <c r="E677" s="4"/>
      <c r="F677" s="32" t="s">
        <v>195</v>
      </c>
      <c r="G677" s="41">
        <v>637</v>
      </c>
      <c r="H677" s="4" t="s">
        <v>126</v>
      </c>
      <c r="I677" s="71">
        <v>2589</v>
      </c>
      <c r="J677" s="71">
        <v>855</v>
      </c>
      <c r="K677" s="190">
        <f t="shared" si="58"/>
        <v>33.02433371958285</v>
      </c>
      <c r="L677" s="178"/>
      <c r="M677" s="71"/>
      <c r="N677" s="71"/>
      <c r="O677" s="189"/>
      <c r="P677" s="178"/>
      <c r="Q677" s="71">
        <f t="shared" si="59"/>
        <v>2589</v>
      </c>
      <c r="R677" s="71">
        <f t="shared" si="60"/>
        <v>855</v>
      </c>
      <c r="S677" s="188">
        <f t="shared" si="61"/>
        <v>33.02433371958285</v>
      </c>
    </row>
    <row r="678" spans="2:19" ht="12.75">
      <c r="B678" s="95">
        <f t="shared" si="62"/>
        <v>132</v>
      </c>
      <c r="C678" s="3"/>
      <c r="D678" s="3"/>
      <c r="E678" s="3"/>
      <c r="F678" s="92" t="s">
        <v>195</v>
      </c>
      <c r="G678" s="93">
        <v>640</v>
      </c>
      <c r="H678" s="3" t="s">
        <v>132</v>
      </c>
      <c r="I678" s="70">
        <v>1954</v>
      </c>
      <c r="J678" s="70">
        <v>75</v>
      </c>
      <c r="K678" s="190">
        <f t="shared" si="58"/>
        <v>3.8382804503582397</v>
      </c>
      <c r="L678" s="177"/>
      <c r="M678" s="70"/>
      <c r="N678" s="70"/>
      <c r="O678" s="189"/>
      <c r="P678" s="177"/>
      <c r="Q678" s="70">
        <f t="shared" si="59"/>
        <v>1954</v>
      </c>
      <c r="R678" s="70">
        <f t="shared" si="60"/>
        <v>75</v>
      </c>
      <c r="S678" s="188">
        <f t="shared" si="61"/>
        <v>3.8382804503582397</v>
      </c>
    </row>
    <row r="679" spans="2:19" ht="12.75">
      <c r="B679" s="95">
        <f t="shared" si="62"/>
        <v>133</v>
      </c>
      <c r="C679" s="8"/>
      <c r="D679" s="8"/>
      <c r="E679" s="8" t="s">
        <v>86</v>
      </c>
      <c r="F679" s="37"/>
      <c r="G679" s="45"/>
      <c r="H679" s="8" t="s">
        <v>204</v>
      </c>
      <c r="I679" s="85">
        <f>I680+I681+I682</f>
        <v>144573</v>
      </c>
      <c r="J679" s="85">
        <f>J680+J681+J682</f>
        <v>59498</v>
      </c>
      <c r="K679" s="190">
        <f t="shared" si="58"/>
        <v>41.15429575370228</v>
      </c>
      <c r="L679" s="177"/>
      <c r="M679" s="85"/>
      <c r="N679" s="85"/>
      <c r="O679" s="189"/>
      <c r="P679" s="177"/>
      <c r="Q679" s="85">
        <f t="shared" si="59"/>
        <v>144573</v>
      </c>
      <c r="R679" s="85">
        <f t="shared" si="60"/>
        <v>59498</v>
      </c>
      <c r="S679" s="188">
        <f t="shared" si="61"/>
        <v>41.15429575370228</v>
      </c>
    </row>
    <row r="680" spans="2:19" ht="12.75">
      <c r="B680" s="95">
        <f t="shared" si="62"/>
        <v>134</v>
      </c>
      <c r="C680" s="3"/>
      <c r="D680" s="3"/>
      <c r="E680" s="3"/>
      <c r="F680" s="92" t="s">
        <v>195</v>
      </c>
      <c r="G680" s="93">
        <v>610</v>
      </c>
      <c r="H680" s="3" t="s">
        <v>134</v>
      </c>
      <c r="I680" s="70">
        <f>89965+50</f>
        <v>90015</v>
      </c>
      <c r="J680" s="70">
        <v>38918</v>
      </c>
      <c r="K680" s="190">
        <f t="shared" si="58"/>
        <v>43.23501638615787</v>
      </c>
      <c r="L680" s="177"/>
      <c r="M680" s="70"/>
      <c r="N680" s="70"/>
      <c r="O680" s="189"/>
      <c r="P680" s="177"/>
      <c r="Q680" s="70">
        <f t="shared" si="59"/>
        <v>90015</v>
      </c>
      <c r="R680" s="70">
        <f t="shared" si="60"/>
        <v>38918</v>
      </c>
      <c r="S680" s="188">
        <f t="shared" si="61"/>
        <v>43.23501638615787</v>
      </c>
    </row>
    <row r="681" spans="2:19" ht="12.75">
      <c r="B681" s="95">
        <f t="shared" si="62"/>
        <v>135</v>
      </c>
      <c r="C681" s="3"/>
      <c r="D681" s="3"/>
      <c r="E681" s="3"/>
      <c r="F681" s="92" t="s">
        <v>195</v>
      </c>
      <c r="G681" s="93">
        <v>620</v>
      </c>
      <c r="H681" s="3" t="s">
        <v>128</v>
      </c>
      <c r="I681" s="70">
        <f>33242+10</f>
        <v>33252</v>
      </c>
      <c r="J681" s="70">
        <v>14381</v>
      </c>
      <c r="K681" s="190">
        <f t="shared" si="58"/>
        <v>43.2485264044268</v>
      </c>
      <c r="L681" s="177"/>
      <c r="M681" s="70"/>
      <c r="N681" s="70"/>
      <c r="O681" s="189"/>
      <c r="P681" s="177"/>
      <c r="Q681" s="70">
        <f t="shared" si="59"/>
        <v>33252</v>
      </c>
      <c r="R681" s="70">
        <f t="shared" si="60"/>
        <v>14381</v>
      </c>
      <c r="S681" s="188">
        <f t="shared" si="61"/>
        <v>43.2485264044268</v>
      </c>
    </row>
    <row r="682" spans="2:19" ht="12.75">
      <c r="B682" s="95">
        <f t="shared" si="62"/>
        <v>136</v>
      </c>
      <c r="C682" s="3"/>
      <c r="D682" s="3"/>
      <c r="E682" s="3"/>
      <c r="F682" s="92" t="s">
        <v>195</v>
      </c>
      <c r="G682" s="93">
        <v>630</v>
      </c>
      <c r="H682" s="3" t="s">
        <v>125</v>
      </c>
      <c r="I682" s="70">
        <f>SUM(I683:I686)</f>
        <v>21306</v>
      </c>
      <c r="J682" s="70">
        <f>SUM(J683:J686)</f>
        <v>6199</v>
      </c>
      <c r="K682" s="190">
        <f t="shared" si="58"/>
        <v>29.09509058481179</v>
      </c>
      <c r="L682" s="177"/>
      <c r="M682" s="70"/>
      <c r="N682" s="70"/>
      <c r="O682" s="189"/>
      <c r="P682" s="177"/>
      <c r="Q682" s="70">
        <f t="shared" si="59"/>
        <v>21306</v>
      </c>
      <c r="R682" s="70">
        <f t="shared" si="60"/>
        <v>6199</v>
      </c>
      <c r="S682" s="188">
        <f t="shared" si="61"/>
        <v>29.09509058481179</v>
      </c>
    </row>
    <row r="683" spans="2:19" ht="12.75">
      <c r="B683" s="95">
        <f t="shared" si="62"/>
        <v>137</v>
      </c>
      <c r="C683" s="4"/>
      <c r="D683" s="4"/>
      <c r="E683" s="4"/>
      <c r="F683" s="32" t="s">
        <v>195</v>
      </c>
      <c r="G683" s="41">
        <v>632</v>
      </c>
      <c r="H683" s="4" t="s">
        <v>138</v>
      </c>
      <c r="I683" s="71">
        <v>8770</v>
      </c>
      <c r="J683" s="71">
        <v>3480</v>
      </c>
      <c r="K683" s="190">
        <f t="shared" si="58"/>
        <v>39.68072976054732</v>
      </c>
      <c r="L683" s="178"/>
      <c r="M683" s="71"/>
      <c r="N683" s="71"/>
      <c r="O683" s="189"/>
      <c r="P683" s="178"/>
      <c r="Q683" s="71">
        <f t="shared" si="59"/>
        <v>8770</v>
      </c>
      <c r="R683" s="71">
        <f t="shared" si="60"/>
        <v>3480</v>
      </c>
      <c r="S683" s="188">
        <f t="shared" si="61"/>
        <v>39.68072976054732</v>
      </c>
    </row>
    <row r="684" spans="2:19" ht="12.75">
      <c r="B684" s="95">
        <f t="shared" si="62"/>
        <v>138</v>
      </c>
      <c r="C684" s="4"/>
      <c r="D684" s="4"/>
      <c r="E684" s="4"/>
      <c r="F684" s="32" t="s">
        <v>195</v>
      </c>
      <c r="G684" s="41">
        <v>633</v>
      </c>
      <c r="H684" s="4" t="s">
        <v>129</v>
      </c>
      <c r="I684" s="71">
        <f>7396-592+1</f>
        <v>6805</v>
      </c>
      <c r="J684" s="71">
        <v>1829</v>
      </c>
      <c r="K684" s="190">
        <f t="shared" si="58"/>
        <v>26.877296105804554</v>
      </c>
      <c r="L684" s="178"/>
      <c r="M684" s="71"/>
      <c r="N684" s="71"/>
      <c r="O684" s="189"/>
      <c r="P684" s="178"/>
      <c r="Q684" s="71">
        <f t="shared" si="59"/>
        <v>6805</v>
      </c>
      <c r="R684" s="71">
        <f t="shared" si="60"/>
        <v>1829</v>
      </c>
      <c r="S684" s="188">
        <f t="shared" si="61"/>
        <v>26.877296105804554</v>
      </c>
    </row>
    <row r="685" spans="2:19" ht="12.75">
      <c r="B685" s="95">
        <f t="shared" si="62"/>
        <v>139</v>
      </c>
      <c r="C685" s="4"/>
      <c r="D685" s="4"/>
      <c r="E685" s="4"/>
      <c r="F685" s="32" t="s">
        <v>195</v>
      </c>
      <c r="G685" s="41">
        <v>635</v>
      </c>
      <c r="H685" s="4" t="s">
        <v>136</v>
      </c>
      <c r="I685" s="71">
        <v>3000</v>
      </c>
      <c r="J685" s="71">
        <v>289</v>
      </c>
      <c r="K685" s="190">
        <f t="shared" si="58"/>
        <v>9.633333333333335</v>
      </c>
      <c r="L685" s="178"/>
      <c r="M685" s="71"/>
      <c r="N685" s="71"/>
      <c r="O685" s="189"/>
      <c r="P685" s="178"/>
      <c r="Q685" s="71">
        <f t="shared" si="59"/>
        <v>3000</v>
      </c>
      <c r="R685" s="71">
        <f t="shared" si="60"/>
        <v>289</v>
      </c>
      <c r="S685" s="188">
        <f t="shared" si="61"/>
        <v>9.633333333333335</v>
      </c>
    </row>
    <row r="686" spans="2:19" ht="12.75">
      <c r="B686" s="95">
        <f t="shared" si="62"/>
        <v>140</v>
      </c>
      <c r="C686" s="4"/>
      <c r="D686" s="4"/>
      <c r="E686" s="4"/>
      <c r="F686" s="32" t="s">
        <v>195</v>
      </c>
      <c r="G686" s="41">
        <v>637</v>
      </c>
      <c r="H686" s="4" t="s">
        <v>126</v>
      </c>
      <c r="I686" s="71">
        <v>2731</v>
      </c>
      <c r="J686" s="71">
        <v>601</v>
      </c>
      <c r="K686" s="190">
        <f t="shared" si="58"/>
        <v>22.00659099231051</v>
      </c>
      <c r="L686" s="178"/>
      <c r="M686" s="71"/>
      <c r="N686" s="71"/>
      <c r="O686" s="189"/>
      <c r="P686" s="178"/>
      <c r="Q686" s="71">
        <f t="shared" si="59"/>
        <v>2731</v>
      </c>
      <c r="R686" s="71">
        <f t="shared" si="60"/>
        <v>601</v>
      </c>
      <c r="S686" s="188">
        <f t="shared" si="61"/>
        <v>22.00659099231051</v>
      </c>
    </row>
    <row r="687" spans="2:19" ht="12.75">
      <c r="B687" s="95">
        <f t="shared" si="62"/>
        <v>141</v>
      </c>
      <c r="C687" s="8"/>
      <c r="D687" s="8"/>
      <c r="E687" s="8" t="s">
        <v>104</v>
      </c>
      <c r="F687" s="37"/>
      <c r="G687" s="45"/>
      <c r="H687" s="8" t="s">
        <v>65</v>
      </c>
      <c r="I687" s="85">
        <f>I688+I689+I690+I696</f>
        <v>143611</v>
      </c>
      <c r="J687" s="85">
        <f>J688+J689+J690+J696</f>
        <v>55780</v>
      </c>
      <c r="K687" s="190">
        <f t="shared" si="58"/>
        <v>38.8410358537995</v>
      </c>
      <c r="L687" s="177"/>
      <c r="M687" s="85"/>
      <c r="N687" s="85"/>
      <c r="O687" s="189"/>
      <c r="P687" s="177"/>
      <c r="Q687" s="85">
        <f t="shared" si="59"/>
        <v>143611</v>
      </c>
      <c r="R687" s="85">
        <f t="shared" si="60"/>
        <v>55780</v>
      </c>
      <c r="S687" s="188">
        <f t="shared" si="61"/>
        <v>38.8410358537995</v>
      </c>
    </row>
    <row r="688" spans="2:19" ht="12.75">
      <c r="B688" s="95">
        <f t="shared" si="62"/>
        <v>142</v>
      </c>
      <c r="C688" s="3"/>
      <c r="D688" s="3"/>
      <c r="E688" s="3"/>
      <c r="F688" s="92" t="s">
        <v>195</v>
      </c>
      <c r="G688" s="93">
        <v>610</v>
      </c>
      <c r="H688" s="3" t="s">
        <v>134</v>
      </c>
      <c r="I688" s="70">
        <v>79754</v>
      </c>
      <c r="J688" s="70">
        <v>33134</v>
      </c>
      <c r="K688" s="190">
        <f t="shared" si="58"/>
        <v>41.54525164882012</v>
      </c>
      <c r="L688" s="177"/>
      <c r="M688" s="70"/>
      <c r="N688" s="70"/>
      <c r="O688" s="189"/>
      <c r="P688" s="177"/>
      <c r="Q688" s="70">
        <f t="shared" si="59"/>
        <v>79754</v>
      </c>
      <c r="R688" s="70">
        <f t="shared" si="60"/>
        <v>33134</v>
      </c>
      <c r="S688" s="188">
        <f t="shared" si="61"/>
        <v>41.54525164882012</v>
      </c>
    </row>
    <row r="689" spans="2:19" ht="12.75">
      <c r="B689" s="95">
        <f t="shared" si="62"/>
        <v>143</v>
      </c>
      <c r="C689" s="3"/>
      <c r="D689" s="3"/>
      <c r="E689" s="3"/>
      <c r="F689" s="92" t="s">
        <v>195</v>
      </c>
      <c r="G689" s="93">
        <v>620</v>
      </c>
      <c r="H689" s="3" t="s">
        <v>128</v>
      </c>
      <c r="I689" s="70">
        <v>29469</v>
      </c>
      <c r="J689" s="70">
        <v>11842</v>
      </c>
      <c r="K689" s="190">
        <f t="shared" si="58"/>
        <v>40.18460076690759</v>
      </c>
      <c r="L689" s="177"/>
      <c r="M689" s="70"/>
      <c r="N689" s="70"/>
      <c r="O689" s="189"/>
      <c r="P689" s="177"/>
      <c r="Q689" s="70">
        <f t="shared" si="59"/>
        <v>29469</v>
      </c>
      <c r="R689" s="70">
        <f t="shared" si="60"/>
        <v>11842</v>
      </c>
      <c r="S689" s="188">
        <f t="shared" si="61"/>
        <v>40.18460076690759</v>
      </c>
    </row>
    <row r="690" spans="2:19" ht="12.75">
      <c r="B690" s="95">
        <f t="shared" si="62"/>
        <v>144</v>
      </c>
      <c r="C690" s="3"/>
      <c r="D690" s="3"/>
      <c r="E690" s="3"/>
      <c r="F690" s="92" t="s">
        <v>195</v>
      </c>
      <c r="G690" s="93">
        <v>630</v>
      </c>
      <c r="H690" s="3" t="s">
        <v>125</v>
      </c>
      <c r="I690" s="70">
        <f>SUM(I691:I695)</f>
        <v>32094</v>
      </c>
      <c r="J690" s="70">
        <f>SUM(J691:J695)</f>
        <v>10804</v>
      </c>
      <c r="K690" s="190">
        <f t="shared" si="58"/>
        <v>33.66361313641179</v>
      </c>
      <c r="L690" s="177"/>
      <c r="M690" s="70"/>
      <c r="N690" s="70"/>
      <c r="O690" s="189"/>
      <c r="P690" s="177"/>
      <c r="Q690" s="70">
        <f t="shared" si="59"/>
        <v>32094</v>
      </c>
      <c r="R690" s="70">
        <f t="shared" si="60"/>
        <v>10804</v>
      </c>
      <c r="S690" s="188">
        <f t="shared" si="61"/>
        <v>33.66361313641179</v>
      </c>
    </row>
    <row r="691" spans="2:19" ht="12.75">
      <c r="B691" s="95">
        <f t="shared" si="62"/>
        <v>145</v>
      </c>
      <c r="C691" s="4"/>
      <c r="D691" s="4"/>
      <c r="E691" s="4"/>
      <c r="F691" s="32" t="s">
        <v>195</v>
      </c>
      <c r="G691" s="41">
        <v>632</v>
      </c>
      <c r="H691" s="4" t="s">
        <v>138</v>
      </c>
      <c r="I691" s="71">
        <v>380</v>
      </c>
      <c r="J691" s="71">
        <v>180</v>
      </c>
      <c r="K691" s="190">
        <f t="shared" si="58"/>
        <v>47.368421052631575</v>
      </c>
      <c r="L691" s="178"/>
      <c r="M691" s="71"/>
      <c r="N691" s="71"/>
      <c r="O691" s="189"/>
      <c r="P691" s="178"/>
      <c r="Q691" s="71">
        <f t="shared" si="59"/>
        <v>380</v>
      </c>
      <c r="R691" s="71">
        <f t="shared" si="60"/>
        <v>180</v>
      </c>
      <c r="S691" s="188">
        <f t="shared" si="61"/>
        <v>47.368421052631575</v>
      </c>
    </row>
    <row r="692" spans="2:19" ht="12.75">
      <c r="B692" s="95">
        <f t="shared" si="62"/>
        <v>146</v>
      </c>
      <c r="C692" s="4"/>
      <c r="D692" s="4"/>
      <c r="E692" s="4"/>
      <c r="F692" s="32" t="s">
        <v>195</v>
      </c>
      <c r="G692" s="41">
        <v>633</v>
      </c>
      <c r="H692" s="4" t="s">
        <v>129</v>
      </c>
      <c r="I692" s="71">
        <f>7252-656+1</f>
        <v>6597</v>
      </c>
      <c r="J692" s="71">
        <v>2549</v>
      </c>
      <c r="K692" s="190">
        <f t="shared" si="58"/>
        <v>38.63877520084887</v>
      </c>
      <c r="L692" s="178"/>
      <c r="M692" s="71"/>
      <c r="N692" s="71"/>
      <c r="O692" s="189"/>
      <c r="P692" s="178"/>
      <c r="Q692" s="71">
        <f t="shared" si="59"/>
        <v>6597</v>
      </c>
      <c r="R692" s="71">
        <f t="shared" si="60"/>
        <v>2549</v>
      </c>
      <c r="S692" s="188">
        <f t="shared" si="61"/>
        <v>38.63877520084887</v>
      </c>
    </row>
    <row r="693" spans="2:19" ht="12.75">
      <c r="B693" s="95">
        <f t="shared" si="62"/>
        <v>147</v>
      </c>
      <c r="C693" s="4"/>
      <c r="D693" s="4"/>
      <c r="E693" s="4"/>
      <c r="F693" s="32" t="s">
        <v>195</v>
      </c>
      <c r="G693" s="41">
        <v>635</v>
      </c>
      <c r="H693" s="4" t="s">
        <v>136</v>
      </c>
      <c r="I693" s="71">
        <v>2500</v>
      </c>
      <c r="J693" s="71">
        <v>3044</v>
      </c>
      <c r="K693" s="190">
        <f t="shared" si="58"/>
        <v>121.76</v>
      </c>
      <c r="L693" s="178"/>
      <c r="M693" s="71"/>
      <c r="N693" s="71"/>
      <c r="O693" s="189"/>
      <c r="P693" s="178"/>
      <c r="Q693" s="71">
        <f t="shared" si="59"/>
        <v>2500</v>
      </c>
      <c r="R693" s="71">
        <f t="shared" si="60"/>
        <v>3044</v>
      </c>
      <c r="S693" s="188">
        <f t="shared" si="61"/>
        <v>121.76</v>
      </c>
    </row>
    <row r="694" spans="2:19" ht="12.75">
      <c r="B694" s="95">
        <f t="shared" si="62"/>
        <v>148</v>
      </c>
      <c r="C694" s="4"/>
      <c r="D694" s="4"/>
      <c r="E694" s="4"/>
      <c r="F694" s="32" t="s">
        <v>195</v>
      </c>
      <c r="G694" s="41">
        <v>636</v>
      </c>
      <c r="H694" s="4" t="s">
        <v>130</v>
      </c>
      <c r="I694" s="71">
        <v>20000</v>
      </c>
      <c r="J694" s="71">
        <v>4411</v>
      </c>
      <c r="K694" s="190">
        <f t="shared" si="58"/>
        <v>22.055</v>
      </c>
      <c r="L694" s="178"/>
      <c r="M694" s="71"/>
      <c r="N694" s="71"/>
      <c r="O694" s="189"/>
      <c r="P694" s="178"/>
      <c r="Q694" s="71">
        <f t="shared" si="59"/>
        <v>20000</v>
      </c>
      <c r="R694" s="71">
        <f t="shared" si="60"/>
        <v>4411</v>
      </c>
      <c r="S694" s="188">
        <f t="shared" si="61"/>
        <v>22.055</v>
      </c>
    </row>
    <row r="695" spans="2:19" ht="12.75">
      <c r="B695" s="95">
        <f t="shared" si="62"/>
        <v>149</v>
      </c>
      <c r="C695" s="4"/>
      <c r="D695" s="4"/>
      <c r="E695" s="4"/>
      <c r="F695" s="32" t="s">
        <v>195</v>
      </c>
      <c r="G695" s="41">
        <v>637</v>
      </c>
      <c r="H695" s="4" t="s">
        <v>126</v>
      </c>
      <c r="I695" s="71">
        <v>2617</v>
      </c>
      <c r="J695" s="71">
        <v>620</v>
      </c>
      <c r="K695" s="190">
        <f t="shared" si="58"/>
        <v>23.691249522353843</v>
      </c>
      <c r="L695" s="178"/>
      <c r="M695" s="71"/>
      <c r="N695" s="71"/>
      <c r="O695" s="189"/>
      <c r="P695" s="178"/>
      <c r="Q695" s="71">
        <f t="shared" si="59"/>
        <v>2617</v>
      </c>
      <c r="R695" s="71">
        <f t="shared" si="60"/>
        <v>620</v>
      </c>
      <c r="S695" s="188">
        <f t="shared" si="61"/>
        <v>23.691249522353843</v>
      </c>
    </row>
    <row r="696" spans="2:19" ht="12.75">
      <c r="B696" s="95">
        <f t="shared" si="62"/>
        <v>150</v>
      </c>
      <c r="C696" s="3"/>
      <c r="D696" s="3"/>
      <c r="E696" s="3"/>
      <c r="F696" s="92" t="s">
        <v>195</v>
      </c>
      <c r="G696" s="93">
        <v>640</v>
      </c>
      <c r="H696" s="3" t="s">
        <v>132</v>
      </c>
      <c r="I696" s="70">
        <v>2294</v>
      </c>
      <c r="J696" s="70">
        <v>0</v>
      </c>
      <c r="K696" s="190">
        <f t="shared" si="58"/>
        <v>0</v>
      </c>
      <c r="L696" s="177"/>
      <c r="M696" s="70"/>
      <c r="N696" s="70"/>
      <c r="O696" s="189"/>
      <c r="P696" s="177"/>
      <c r="Q696" s="70">
        <f t="shared" si="59"/>
        <v>2294</v>
      </c>
      <c r="R696" s="70">
        <f t="shared" si="60"/>
        <v>0</v>
      </c>
      <c r="S696" s="188">
        <f t="shared" si="61"/>
        <v>0</v>
      </c>
    </row>
    <row r="697" spans="2:19" ht="12.75">
      <c r="B697" s="95">
        <f t="shared" si="62"/>
        <v>151</v>
      </c>
      <c r="C697" s="8"/>
      <c r="D697" s="8"/>
      <c r="E697" s="8" t="s">
        <v>105</v>
      </c>
      <c r="F697" s="37"/>
      <c r="G697" s="45"/>
      <c r="H697" s="8" t="s">
        <v>106</v>
      </c>
      <c r="I697" s="85">
        <f>I698+I699+I700+I706</f>
        <v>363443</v>
      </c>
      <c r="J697" s="85">
        <f>J698+J699+J700+J706</f>
        <v>150687</v>
      </c>
      <c r="K697" s="190">
        <f t="shared" si="58"/>
        <v>41.46097187179282</v>
      </c>
      <c r="L697" s="177"/>
      <c r="M697" s="85"/>
      <c r="N697" s="85"/>
      <c r="O697" s="189"/>
      <c r="P697" s="177"/>
      <c r="Q697" s="85">
        <f t="shared" si="59"/>
        <v>363443</v>
      </c>
      <c r="R697" s="85">
        <f t="shared" si="60"/>
        <v>150687</v>
      </c>
      <c r="S697" s="188">
        <f t="shared" si="61"/>
        <v>41.46097187179282</v>
      </c>
    </row>
    <row r="698" spans="2:19" ht="12.75">
      <c r="B698" s="95">
        <f t="shared" si="62"/>
        <v>152</v>
      </c>
      <c r="C698" s="3"/>
      <c r="D698" s="3"/>
      <c r="E698" s="3"/>
      <c r="F698" s="92" t="s">
        <v>195</v>
      </c>
      <c r="G698" s="93">
        <v>610</v>
      </c>
      <c r="H698" s="3" t="s">
        <v>134</v>
      </c>
      <c r="I698" s="70">
        <f>231452+50</f>
        <v>231502</v>
      </c>
      <c r="J698" s="70">
        <v>95476</v>
      </c>
      <c r="K698" s="190">
        <f t="shared" si="58"/>
        <v>41.24197631121977</v>
      </c>
      <c r="L698" s="177"/>
      <c r="M698" s="70"/>
      <c r="N698" s="70"/>
      <c r="O698" s="189"/>
      <c r="P698" s="177"/>
      <c r="Q698" s="70">
        <f t="shared" si="59"/>
        <v>231502</v>
      </c>
      <c r="R698" s="70">
        <f t="shared" si="60"/>
        <v>95476</v>
      </c>
      <c r="S698" s="188">
        <f t="shared" si="61"/>
        <v>41.24197631121977</v>
      </c>
    </row>
    <row r="699" spans="2:19" ht="12.75">
      <c r="B699" s="95">
        <f t="shared" si="62"/>
        <v>153</v>
      </c>
      <c r="C699" s="3"/>
      <c r="D699" s="3"/>
      <c r="E699" s="3"/>
      <c r="F699" s="92" t="s">
        <v>195</v>
      </c>
      <c r="G699" s="93">
        <v>620</v>
      </c>
      <c r="H699" s="3" t="s">
        <v>128</v>
      </c>
      <c r="I699" s="70">
        <f>85522+10</f>
        <v>85532</v>
      </c>
      <c r="J699" s="70">
        <v>35153</v>
      </c>
      <c r="K699" s="190">
        <f t="shared" si="58"/>
        <v>41.09923771220128</v>
      </c>
      <c r="L699" s="177"/>
      <c r="M699" s="70"/>
      <c r="N699" s="70"/>
      <c r="O699" s="189"/>
      <c r="P699" s="177"/>
      <c r="Q699" s="70">
        <f t="shared" si="59"/>
        <v>85532</v>
      </c>
      <c r="R699" s="70">
        <f t="shared" si="60"/>
        <v>35153</v>
      </c>
      <c r="S699" s="188">
        <f t="shared" si="61"/>
        <v>41.09923771220128</v>
      </c>
    </row>
    <row r="700" spans="2:19" ht="12.75">
      <c r="B700" s="95">
        <f t="shared" si="62"/>
        <v>154</v>
      </c>
      <c r="C700" s="3"/>
      <c r="D700" s="3"/>
      <c r="E700" s="3"/>
      <c r="F700" s="92" t="s">
        <v>195</v>
      </c>
      <c r="G700" s="93">
        <v>630</v>
      </c>
      <c r="H700" s="3" t="s">
        <v>125</v>
      </c>
      <c r="I700" s="70">
        <f>SUM(I701:I705)</f>
        <v>44455</v>
      </c>
      <c r="J700" s="70">
        <f>SUM(J701:J705)</f>
        <v>19775</v>
      </c>
      <c r="K700" s="190">
        <f t="shared" si="58"/>
        <v>44.48318524350467</v>
      </c>
      <c r="L700" s="177"/>
      <c r="M700" s="70"/>
      <c r="N700" s="70"/>
      <c r="O700" s="189"/>
      <c r="P700" s="177"/>
      <c r="Q700" s="70">
        <f t="shared" si="59"/>
        <v>44455</v>
      </c>
      <c r="R700" s="70">
        <f t="shared" si="60"/>
        <v>19775</v>
      </c>
      <c r="S700" s="188">
        <f t="shared" si="61"/>
        <v>44.48318524350467</v>
      </c>
    </row>
    <row r="701" spans="2:19" ht="12.75">
      <c r="B701" s="95">
        <f t="shared" si="62"/>
        <v>155</v>
      </c>
      <c r="C701" s="4"/>
      <c r="D701" s="4"/>
      <c r="E701" s="4"/>
      <c r="F701" s="32" t="s">
        <v>195</v>
      </c>
      <c r="G701" s="41">
        <v>632</v>
      </c>
      <c r="H701" s="4" t="s">
        <v>138</v>
      </c>
      <c r="I701" s="71">
        <v>9910</v>
      </c>
      <c r="J701" s="71">
        <v>6000</v>
      </c>
      <c r="K701" s="190">
        <f t="shared" si="58"/>
        <v>60.544904137235115</v>
      </c>
      <c r="L701" s="178"/>
      <c r="M701" s="71"/>
      <c r="N701" s="71"/>
      <c r="O701" s="189"/>
      <c r="P701" s="178"/>
      <c r="Q701" s="71">
        <f t="shared" si="59"/>
        <v>9910</v>
      </c>
      <c r="R701" s="71">
        <f t="shared" si="60"/>
        <v>6000</v>
      </c>
      <c r="S701" s="188">
        <f t="shared" si="61"/>
        <v>60.544904137235115</v>
      </c>
    </row>
    <row r="702" spans="2:19" ht="12.75">
      <c r="B702" s="95">
        <f t="shared" si="62"/>
        <v>156</v>
      </c>
      <c r="C702" s="4"/>
      <c r="D702" s="4"/>
      <c r="E702" s="4"/>
      <c r="F702" s="32" t="s">
        <v>195</v>
      </c>
      <c r="G702" s="41">
        <v>633</v>
      </c>
      <c r="H702" s="4" t="s">
        <v>129</v>
      </c>
      <c r="I702" s="71">
        <f>18411-2176-343</f>
        <v>15892</v>
      </c>
      <c r="J702" s="71">
        <v>7328</v>
      </c>
      <c r="K702" s="190">
        <f t="shared" si="58"/>
        <v>46.11125094387113</v>
      </c>
      <c r="L702" s="178"/>
      <c r="M702" s="71"/>
      <c r="N702" s="71"/>
      <c r="O702" s="189"/>
      <c r="P702" s="178"/>
      <c r="Q702" s="71">
        <f t="shared" si="59"/>
        <v>15892</v>
      </c>
      <c r="R702" s="71">
        <f t="shared" si="60"/>
        <v>7328</v>
      </c>
      <c r="S702" s="188">
        <f t="shared" si="61"/>
        <v>46.11125094387113</v>
      </c>
    </row>
    <row r="703" spans="2:19" ht="12.75">
      <c r="B703" s="95">
        <f t="shared" si="62"/>
        <v>157</v>
      </c>
      <c r="C703" s="4"/>
      <c r="D703" s="4"/>
      <c r="E703" s="4"/>
      <c r="F703" s="32" t="s">
        <v>195</v>
      </c>
      <c r="G703" s="41">
        <v>635</v>
      </c>
      <c r="H703" s="4" t="s">
        <v>136</v>
      </c>
      <c r="I703" s="71">
        <v>6000</v>
      </c>
      <c r="J703" s="71">
        <v>902</v>
      </c>
      <c r="K703" s="190">
        <f t="shared" si="58"/>
        <v>15.033333333333335</v>
      </c>
      <c r="L703" s="178"/>
      <c r="M703" s="71"/>
      <c r="N703" s="71"/>
      <c r="O703" s="189"/>
      <c r="P703" s="178"/>
      <c r="Q703" s="71">
        <f t="shared" si="59"/>
        <v>6000</v>
      </c>
      <c r="R703" s="71">
        <f t="shared" si="60"/>
        <v>902</v>
      </c>
      <c r="S703" s="188">
        <f t="shared" si="61"/>
        <v>15.033333333333335</v>
      </c>
    </row>
    <row r="704" spans="2:19" ht="12.75">
      <c r="B704" s="95">
        <f t="shared" si="62"/>
        <v>158</v>
      </c>
      <c r="C704" s="4"/>
      <c r="D704" s="4"/>
      <c r="E704" s="4"/>
      <c r="F704" s="32" t="s">
        <v>195</v>
      </c>
      <c r="G704" s="41">
        <v>636</v>
      </c>
      <c r="H704" s="4" t="s">
        <v>130</v>
      </c>
      <c r="I704" s="71">
        <v>3600</v>
      </c>
      <c r="J704" s="71">
        <v>2099</v>
      </c>
      <c r="K704" s="190">
        <f t="shared" si="58"/>
        <v>58.30555555555556</v>
      </c>
      <c r="L704" s="178"/>
      <c r="M704" s="71"/>
      <c r="N704" s="71"/>
      <c r="O704" s="189"/>
      <c r="P704" s="178"/>
      <c r="Q704" s="71">
        <f t="shared" si="59"/>
        <v>3600</v>
      </c>
      <c r="R704" s="71">
        <f t="shared" si="60"/>
        <v>2099</v>
      </c>
      <c r="S704" s="188">
        <f t="shared" si="61"/>
        <v>58.30555555555556</v>
      </c>
    </row>
    <row r="705" spans="2:19" ht="12.75">
      <c r="B705" s="95">
        <f t="shared" si="62"/>
        <v>159</v>
      </c>
      <c r="C705" s="4"/>
      <c r="D705" s="4"/>
      <c r="E705" s="4"/>
      <c r="F705" s="32" t="s">
        <v>195</v>
      </c>
      <c r="G705" s="41">
        <v>637</v>
      </c>
      <c r="H705" s="4" t="s">
        <v>126</v>
      </c>
      <c r="I705" s="71">
        <v>9053</v>
      </c>
      <c r="J705" s="71">
        <v>3446</v>
      </c>
      <c r="K705" s="190">
        <f t="shared" si="58"/>
        <v>38.06472992378217</v>
      </c>
      <c r="L705" s="178"/>
      <c r="M705" s="71"/>
      <c r="N705" s="71"/>
      <c r="O705" s="189"/>
      <c r="P705" s="178"/>
      <c r="Q705" s="71">
        <f t="shared" si="59"/>
        <v>9053</v>
      </c>
      <c r="R705" s="71">
        <f t="shared" si="60"/>
        <v>3446</v>
      </c>
      <c r="S705" s="188">
        <f t="shared" si="61"/>
        <v>38.06472992378217</v>
      </c>
    </row>
    <row r="706" spans="2:19" ht="12.75">
      <c r="B706" s="95">
        <f t="shared" si="62"/>
        <v>160</v>
      </c>
      <c r="C706" s="3"/>
      <c r="D706" s="3"/>
      <c r="E706" s="3"/>
      <c r="F706" s="92" t="s">
        <v>195</v>
      </c>
      <c r="G706" s="93">
        <v>640</v>
      </c>
      <c r="H706" s="3" t="s">
        <v>132</v>
      </c>
      <c r="I706" s="70">
        <v>1954</v>
      </c>
      <c r="J706" s="70">
        <v>283</v>
      </c>
      <c r="K706" s="190">
        <f t="shared" si="58"/>
        <v>14.483111566018426</v>
      </c>
      <c r="L706" s="177"/>
      <c r="M706" s="70"/>
      <c r="N706" s="70"/>
      <c r="O706" s="189"/>
      <c r="P706" s="177"/>
      <c r="Q706" s="70">
        <f t="shared" si="59"/>
        <v>1954</v>
      </c>
      <c r="R706" s="70">
        <f t="shared" si="60"/>
        <v>283</v>
      </c>
      <c r="S706" s="188">
        <f t="shared" si="61"/>
        <v>14.483111566018426</v>
      </c>
    </row>
    <row r="707" spans="2:19" ht="15">
      <c r="B707" s="95">
        <f t="shared" si="62"/>
        <v>161</v>
      </c>
      <c r="C707" s="96">
        <v>2</v>
      </c>
      <c r="D707" s="296" t="s">
        <v>189</v>
      </c>
      <c r="E707" s="297"/>
      <c r="F707" s="297"/>
      <c r="G707" s="297"/>
      <c r="H707" s="298"/>
      <c r="I707" s="97">
        <f>I708+I714+I726+I754+I779+I806+I835+I862+I887+I910</f>
        <v>10800898</v>
      </c>
      <c r="J707" s="97">
        <f>J708+J714+J726+J754+J779+J806+J835+J862+J887+J910</f>
        <v>4131822</v>
      </c>
      <c r="K707" s="190">
        <f t="shared" si="58"/>
        <v>38.25443032607104</v>
      </c>
      <c r="L707" s="184"/>
      <c r="M707" s="97">
        <f>M714+M726+M754+M779+M806+M835+M862+M887+M910</f>
        <v>758151</v>
      </c>
      <c r="N707" s="97">
        <f>N714+N726+N754+N779+N806+N835+N862+N887+N910</f>
        <v>81385</v>
      </c>
      <c r="O707" s="189">
        <f>N707/M707*100</f>
        <v>10.734668951171997</v>
      </c>
      <c r="P707" s="184"/>
      <c r="Q707" s="97">
        <f t="shared" si="59"/>
        <v>11559049</v>
      </c>
      <c r="R707" s="97">
        <f t="shared" si="60"/>
        <v>4213207</v>
      </c>
      <c r="S707" s="188">
        <f t="shared" si="61"/>
        <v>36.44942590000267</v>
      </c>
    </row>
    <row r="708" spans="2:19" ht="12.75">
      <c r="B708" s="95">
        <f t="shared" si="62"/>
        <v>162</v>
      </c>
      <c r="C708" s="3"/>
      <c r="D708" s="3"/>
      <c r="E708" s="3"/>
      <c r="F708" s="92"/>
      <c r="G708" s="93">
        <v>630</v>
      </c>
      <c r="H708" s="3" t="s">
        <v>125</v>
      </c>
      <c r="I708" s="70">
        <f>I709+I710+I712+I711+I713</f>
        <v>72100</v>
      </c>
      <c r="J708" s="70">
        <f>J709+J710+J712+J711+J713</f>
        <v>18514</v>
      </c>
      <c r="K708" s="190">
        <f t="shared" si="58"/>
        <v>25.678224687933426</v>
      </c>
      <c r="L708" s="177"/>
      <c r="M708" s="70"/>
      <c r="N708" s="70"/>
      <c r="O708" s="189"/>
      <c r="P708" s="177"/>
      <c r="Q708" s="70">
        <f t="shared" si="59"/>
        <v>72100</v>
      </c>
      <c r="R708" s="70">
        <f t="shared" si="60"/>
        <v>18514</v>
      </c>
      <c r="S708" s="188">
        <f t="shared" si="61"/>
        <v>25.678224687933426</v>
      </c>
    </row>
    <row r="709" spans="2:19" ht="12.75">
      <c r="B709" s="95">
        <f t="shared" si="62"/>
        <v>163</v>
      </c>
      <c r="C709" s="4"/>
      <c r="D709" s="4"/>
      <c r="E709" s="4"/>
      <c r="F709" s="32" t="s">
        <v>123</v>
      </c>
      <c r="G709" s="41">
        <v>635</v>
      </c>
      <c r="H709" s="4" t="s">
        <v>136</v>
      </c>
      <c r="I709" s="71">
        <f>40000-5500</f>
        <v>34500</v>
      </c>
      <c r="J709" s="71">
        <v>0</v>
      </c>
      <c r="K709" s="190">
        <f t="shared" si="58"/>
        <v>0</v>
      </c>
      <c r="L709" s="178"/>
      <c r="M709" s="71"/>
      <c r="N709" s="71"/>
      <c r="O709" s="189"/>
      <c r="P709" s="178"/>
      <c r="Q709" s="71">
        <f t="shared" si="59"/>
        <v>34500</v>
      </c>
      <c r="R709" s="71">
        <f t="shared" si="60"/>
        <v>0</v>
      </c>
      <c r="S709" s="188">
        <f t="shared" si="61"/>
        <v>0</v>
      </c>
    </row>
    <row r="710" spans="2:19" ht="12.75">
      <c r="B710" s="95">
        <f t="shared" si="62"/>
        <v>164</v>
      </c>
      <c r="C710" s="4"/>
      <c r="D710" s="4"/>
      <c r="E710" s="4"/>
      <c r="F710" s="32" t="s">
        <v>123</v>
      </c>
      <c r="G710" s="41">
        <v>637</v>
      </c>
      <c r="H710" s="4" t="s">
        <v>126</v>
      </c>
      <c r="I710" s="71">
        <v>2600</v>
      </c>
      <c r="J710" s="71">
        <v>0</v>
      </c>
      <c r="K710" s="190">
        <f t="shared" si="58"/>
        <v>0</v>
      </c>
      <c r="L710" s="178"/>
      <c r="M710" s="71"/>
      <c r="N710" s="71"/>
      <c r="O710" s="189"/>
      <c r="P710" s="178"/>
      <c r="Q710" s="71">
        <f t="shared" si="59"/>
        <v>2600</v>
      </c>
      <c r="R710" s="71">
        <f t="shared" si="60"/>
        <v>0</v>
      </c>
      <c r="S710" s="188">
        <f t="shared" si="61"/>
        <v>0</v>
      </c>
    </row>
    <row r="711" spans="2:19" ht="12.75">
      <c r="B711" s="95">
        <f t="shared" si="62"/>
        <v>165</v>
      </c>
      <c r="C711" s="4"/>
      <c r="D711" s="4"/>
      <c r="E711" s="4"/>
      <c r="F711" s="32" t="s">
        <v>123</v>
      </c>
      <c r="G711" s="41">
        <v>630</v>
      </c>
      <c r="H711" s="4" t="s">
        <v>591</v>
      </c>
      <c r="I711" s="71">
        <v>12000</v>
      </c>
      <c r="J711" s="71">
        <v>0</v>
      </c>
      <c r="K711" s="190">
        <f t="shared" si="58"/>
        <v>0</v>
      </c>
      <c r="L711" s="178"/>
      <c r="M711" s="71"/>
      <c r="N711" s="71"/>
      <c r="O711" s="189"/>
      <c r="P711" s="178"/>
      <c r="Q711" s="71">
        <f t="shared" si="59"/>
        <v>12000</v>
      </c>
      <c r="R711" s="71">
        <f t="shared" si="60"/>
        <v>0</v>
      </c>
      <c r="S711" s="188">
        <f t="shared" si="61"/>
        <v>0</v>
      </c>
    </row>
    <row r="712" spans="2:19" ht="12.75">
      <c r="B712" s="95">
        <f t="shared" si="62"/>
        <v>166</v>
      </c>
      <c r="C712" s="4"/>
      <c r="D712" s="4"/>
      <c r="E712" s="4"/>
      <c r="F712" s="32" t="s">
        <v>109</v>
      </c>
      <c r="G712" s="41">
        <v>635</v>
      </c>
      <c r="H712" s="4" t="s">
        <v>426</v>
      </c>
      <c r="I712" s="71">
        <f>23000-413</f>
        <v>22587</v>
      </c>
      <c r="J712" s="71">
        <v>18101</v>
      </c>
      <c r="K712" s="190">
        <f t="shared" si="58"/>
        <v>80.13901801921459</v>
      </c>
      <c r="L712" s="178"/>
      <c r="M712" s="71"/>
      <c r="N712" s="71"/>
      <c r="O712" s="189"/>
      <c r="P712" s="178"/>
      <c r="Q712" s="71">
        <f t="shared" si="59"/>
        <v>22587</v>
      </c>
      <c r="R712" s="71">
        <f t="shared" si="60"/>
        <v>18101</v>
      </c>
      <c r="S712" s="188">
        <f t="shared" si="61"/>
        <v>80.13901801921459</v>
      </c>
    </row>
    <row r="713" spans="2:19" ht="12.75">
      <c r="B713" s="95">
        <f t="shared" si="62"/>
        <v>167</v>
      </c>
      <c r="C713" s="4"/>
      <c r="D713" s="4"/>
      <c r="E713" s="4"/>
      <c r="F713" s="32" t="s">
        <v>109</v>
      </c>
      <c r="G713" s="41">
        <v>637</v>
      </c>
      <c r="H713" s="4" t="s">
        <v>546</v>
      </c>
      <c r="I713" s="71">
        <v>413</v>
      </c>
      <c r="J713" s="71">
        <v>413</v>
      </c>
      <c r="K713" s="190">
        <f t="shared" si="58"/>
        <v>100</v>
      </c>
      <c r="L713" s="178"/>
      <c r="M713" s="71"/>
      <c r="N713" s="71"/>
      <c r="O713" s="189"/>
      <c r="P713" s="178"/>
      <c r="Q713" s="71">
        <f t="shared" si="59"/>
        <v>413</v>
      </c>
      <c r="R713" s="71">
        <f t="shared" si="60"/>
        <v>413</v>
      </c>
      <c r="S713" s="188">
        <f t="shared" si="61"/>
        <v>100</v>
      </c>
    </row>
    <row r="714" spans="2:19" ht="15">
      <c r="B714" s="95">
        <f t="shared" si="62"/>
        <v>168</v>
      </c>
      <c r="C714" s="12"/>
      <c r="D714" s="12"/>
      <c r="E714" s="12">
        <v>4</v>
      </c>
      <c r="F714" s="35"/>
      <c r="G714" s="43"/>
      <c r="H714" s="12" t="s">
        <v>82</v>
      </c>
      <c r="I714" s="82">
        <f>I715</f>
        <v>106348</v>
      </c>
      <c r="J714" s="82">
        <f>J715</f>
        <v>51079</v>
      </c>
      <c r="K714" s="190">
        <f t="shared" si="58"/>
        <v>48.03005228119005</v>
      </c>
      <c r="L714" s="182"/>
      <c r="M714" s="82"/>
      <c r="N714" s="82"/>
      <c r="O714" s="189"/>
      <c r="P714" s="182"/>
      <c r="Q714" s="82">
        <f t="shared" si="59"/>
        <v>106348</v>
      </c>
      <c r="R714" s="82">
        <f t="shared" si="60"/>
        <v>51079</v>
      </c>
      <c r="S714" s="188">
        <f t="shared" si="61"/>
        <v>48.03005228119005</v>
      </c>
    </row>
    <row r="715" spans="2:19" ht="12.75">
      <c r="B715" s="95">
        <f t="shared" si="62"/>
        <v>169</v>
      </c>
      <c r="C715" s="8"/>
      <c r="D715" s="8"/>
      <c r="E715" s="8"/>
      <c r="F715" s="37"/>
      <c r="G715" s="45"/>
      <c r="H715" s="8" t="s">
        <v>90</v>
      </c>
      <c r="I715" s="85">
        <f>I716+I717+I718+I724+I725</f>
        <v>106348</v>
      </c>
      <c r="J715" s="85">
        <f>J716+J717+J718+J724+J725</f>
        <v>51079</v>
      </c>
      <c r="K715" s="190">
        <f t="shared" si="58"/>
        <v>48.03005228119005</v>
      </c>
      <c r="L715" s="177"/>
      <c r="M715" s="85"/>
      <c r="N715" s="85"/>
      <c r="O715" s="189"/>
      <c r="P715" s="177"/>
      <c r="Q715" s="85">
        <f t="shared" si="59"/>
        <v>106348</v>
      </c>
      <c r="R715" s="85">
        <f t="shared" si="60"/>
        <v>51079</v>
      </c>
      <c r="S715" s="188">
        <f t="shared" si="61"/>
        <v>48.03005228119005</v>
      </c>
    </row>
    <row r="716" spans="2:19" ht="12.75">
      <c r="B716" s="95">
        <f t="shared" si="62"/>
        <v>170</v>
      </c>
      <c r="C716" s="3"/>
      <c r="D716" s="3"/>
      <c r="E716" s="3"/>
      <c r="F716" s="92" t="s">
        <v>123</v>
      </c>
      <c r="G716" s="93">
        <v>610</v>
      </c>
      <c r="H716" s="3" t="s">
        <v>134</v>
      </c>
      <c r="I716" s="70">
        <f>66550-320</f>
        <v>66230</v>
      </c>
      <c r="J716" s="70">
        <v>33575</v>
      </c>
      <c r="K716" s="190">
        <f t="shared" si="58"/>
        <v>50.69454929790125</v>
      </c>
      <c r="L716" s="177"/>
      <c r="M716" s="70"/>
      <c r="N716" s="70"/>
      <c r="O716" s="189"/>
      <c r="P716" s="177"/>
      <c r="Q716" s="70">
        <f t="shared" si="59"/>
        <v>66230</v>
      </c>
      <c r="R716" s="70">
        <f t="shared" si="60"/>
        <v>33575</v>
      </c>
      <c r="S716" s="188">
        <f t="shared" si="61"/>
        <v>50.69454929790125</v>
      </c>
    </row>
    <row r="717" spans="2:19" ht="12.75">
      <c r="B717" s="95">
        <f t="shared" si="62"/>
        <v>171</v>
      </c>
      <c r="C717" s="3"/>
      <c r="D717" s="3"/>
      <c r="E717" s="3"/>
      <c r="F717" s="92" t="s">
        <v>123</v>
      </c>
      <c r="G717" s="93">
        <v>620</v>
      </c>
      <c r="H717" s="3" t="s">
        <v>128</v>
      </c>
      <c r="I717" s="70">
        <f>24293-187</f>
        <v>24106</v>
      </c>
      <c r="J717" s="70">
        <v>12005</v>
      </c>
      <c r="K717" s="190">
        <f t="shared" si="58"/>
        <v>49.80087944909981</v>
      </c>
      <c r="L717" s="177"/>
      <c r="M717" s="70"/>
      <c r="N717" s="70"/>
      <c r="O717" s="189"/>
      <c r="P717" s="177"/>
      <c r="Q717" s="70">
        <f t="shared" si="59"/>
        <v>24106</v>
      </c>
      <c r="R717" s="70">
        <f t="shared" si="60"/>
        <v>12005</v>
      </c>
      <c r="S717" s="188">
        <f t="shared" si="61"/>
        <v>49.80087944909981</v>
      </c>
    </row>
    <row r="718" spans="2:19" ht="12.75">
      <c r="B718" s="95">
        <f t="shared" si="62"/>
        <v>172</v>
      </c>
      <c r="C718" s="3"/>
      <c r="D718" s="3"/>
      <c r="E718" s="3"/>
      <c r="F718" s="92" t="s">
        <v>123</v>
      </c>
      <c r="G718" s="93">
        <v>630</v>
      </c>
      <c r="H718" s="3" t="s">
        <v>125</v>
      </c>
      <c r="I718" s="70">
        <f>SUM(I719:I723)</f>
        <v>12155</v>
      </c>
      <c r="J718" s="70">
        <f>SUM(J719:J723)</f>
        <v>3015</v>
      </c>
      <c r="K718" s="190">
        <f t="shared" si="58"/>
        <v>24.804607157548332</v>
      </c>
      <c r="L718" s="177"/>
      <c r="M718" s="70"/>
      <c r="N718" s="70"/>
      <c r="O718" s="189"/>
      <c r="P718" s="177"/>
      <c r="Q718" s="70">
        <f t="shared" si="59"/>
        <v>12155</v>
      </c>
      <c r="R718" s="70">
        <f t="shared" si="60"/>
        <v>3015</v>
      </c>
      <c r="S718" s="188">
        <f t="shared" si="61"/>
        <v>24.804607157548332</v>
      </c>
    </row>
    <row r="719" spans="2:19" ht="12.75">
      <c r="B719" s="95">
        <f t="shared" si="62"/>
        <v>173</v>
      </c>
      <c r="C719" s="4"/>
      <c r="D719" s="4"/>
      <c r="E719" s="4"/>
      <c r="F719" s="32" t="s">
        <v>123</v>
      </c>
      <c r="G719" s="41">
        <v>632</v>
      </c>
      <c r="H719" s="4" t="s">
        <v>138</v>
      </c>
      <c r="I719" s="71">
        <v>4400</v>
      </c>
      <c r="J719" s="71">
        <v>1196</v>
      </c>
      <c r="K719" s="190">
        <f t="shared" si="58"/>
        <v>27.18181818181818</v>
      </c>
      <c r="L719" s="178"/>
      <c r="M719" s="71"/>
      <c r="N719" s="71"/>
      <c r="O719" s="189"/>
      <c r="P719" s="178"/>
      <c r="Q719" s="71">
        <f t="shared" si="59"/>
        <v>4400</v>
      </c>
      <c r="R719" s="71">
        <f t="shared" si="60"/>
        <v>1196</v>
      </c>
      <c r="S719" s="188">
        <f t="shared" si="61"/>
        <v>27.18181818181818</v>
      </c>
    </row>
    <row r="720" spans="2:19" ht="12.75">
      <c r="B720" s="95">
        <f t="shared" si="62"/>
        <v>174</v>
      </c>
      <c r="C720" s="4"/>
      <c r="D720" s="4"/>
      <c r="E720" s="4"/>
      <c r="F720" s="32" t="s">
        <v>123</v>
      </c>
      <c r="G720" s="41">
        <v>633</v>
      </c>
      <c r="H720" s="4" t="s">
        <v>129</v>
      </c>
      <c r="I720" s="71">
        <f>2988-688</f>
        <v>2300</v>
      </c>
      <c r="J720" s="71">
        <v>673</v>
      </c>
      <c r="K720" s="190">
        <f t="shared" si="58"/>
        <v>29.26086956521739</v>
      </c>
      <c r="L720" s="178"/>
      <c r="M720" s="71"/>
      <c r="N720" s="71"/>
      <c r="O720" s="189"/>
      <c r="P720" s="178"/>
      <c r="Q720" s="71">
        <f t="shared" si="59"/>
        <v>2300</v>
      </c>
      <c r="R720" s="71">
        <f t="shared" si="60"/>
        <v>673</v>
      </c>
      <c r="S720" s="188">
        <f t="shared" si="61"/>
        <v>29.26086956521739</v>
      </c>
    </row>
    <row r="721" spans="2:19" ht="12.75">
      <c r="B721" s="95">
        <f t="shared" si="62"/>
        <v>175</v>
      </c>
      <c r="C721" s="4"/>
      <c r="D721" s="4"/>
      <c r="E721" s="4"/>
      <c r="F721" s="32" t="s">
        <v>123</v>
      </c>
      <c r="G721" s="41">
        <v>635</v>
      </c>
      <c r="H721" s="4" t="s">
        <v>136</v>
      </c>
      <c r="I721" s="71">
        <v>1000</v>
      </c>
      <c r="J721" s="71">
        <v>124</v>
      </c>
      <c r="K721" s="190">
        <f t="shared" si="58"/>
        <v>12.4</v>
      </c>
      <c r="L721" s="178"/>
      <c r="M721" s="71"/>
      <c r="N721" s="71"/>
      <c r="O721" s="189"/>
      <c r="P721" s="178"/>
      <c r="Q721" s="71">
        <f t="shared" si="59"/>
        <v>1000</v>
      </c>
      <c r="R721" s="71">
        <f t="shared" si="60"/>
        <v>124</v>
      </c>
      <c r="S721" s="188">
        <f t="shared" si="61"/>
        <v>12.4</v>
      </c>
    </row>
    <row r="722" spans="2:19" ht="12.75">
      <c r="B722" s="95">
        <f t="shared" si="62"/>
        <v>176</v>
      </c>
      <c r="C722" s="4"/>
      <c r="D722" s="4"/>
      <c r="E722" s="4"/>
      <c r="F722" s="32" t="s">
        <v>123</v>
      </c>
      <c r="G722" s="41">
        <v>637</v>
      </c>
      <c r="H722" s="4" t="s">
        <v>126</v>
      </c>
      <c r="I722" s="71">
        <v>2455</v>
      </c>
      <c r="J722" s="71">
        <v>1022</v>
      </c>
      <c r="K722" s="190">
        <f t="shared" si="58"/>
        <v>41.62932790224033</v>
      </c>
      <c r="L722" s="178"/>
      <c r="M722" s="71"/>
      <c r="N722" s="71"/>
      <c r="O722" s="189"/>
      <c r="P722" s="178"/>
      <c r="Q722" s="71">
        <f t="shared" si="59"/>
        <v>2455</v>
      </c>
      <c r="R722" s="71">
        <f t="shared" si="60"/>
        <v>1022</v>
      </c>
      <c r="S722" s="188">
        <f t="shared" si="61"/>
        <v>41.62932790224033</v>
      </c>
    </row>
    <row r="723" spans="2:19" ht="12.75">
      <c r="B723" s="95">
        <f t="shared" si="62"/>
        <v>177</v>
      </c>
      <c r="C723" s="4"/>
      <c r="D723" s="4"/>
      <c r="E723" s="4"/>
      <c r="F723" s="34" t="s">
        <v>123</v>
      </c>
      <c r="G723" s="41">
        <v>637</v>
      </c>
      <c r="H723" s="14" t="s">
        <v>295</v>
      </c>
      <c r="I723" s="71">
        <v>2000</v>
      </c>
      <c r="J723" s="71">
        <v>0</v>
      </c>
      <c r="K723" s="190">
        <f t="shared" si="58"/>
        <v>0</v>
      </c>
      <c r="L723" s="178"/>
      <c r="M723" s="71"/>
      <c r="N723" s="71"/>
      <c r="O723" s="189"/>
      <c r="P723" s="178"/>
      <c r="Q723" s="71">
        <f t="shared" si="59"/>
        <v>2000</v>
      </c>
      <c r="R723" s="71">
        <f t="shared" si="60"/>
        <v>0</v>
      </c>
      <c r="S723" s="188">
        <f t="shared" si="61"/>
        <v>0</v>
      </c>
    </row>
    <row r="724" spans="2:19" ht="12.75">
      <c r="B724" s="95">
        <f t="shared" si="62"/>
        <v>178</v>
      </c>
      <c r="C724" s="3"/>
      <c r="D724" s="3"/>
      <c r="E724" s="3"/>
      <c r="F724" s="92" t="s">
        <v>123</v>
      </c>
      <c r="G724" s="93">
        <v>640</v>
      </c>
      <c r="H724" s="3" t="s">
        <v>132</v>
      </c>
      <c r="I724" s="70">
        <v>1373</v>
      </c>
      <c r="J724" s="70">
        <v>0</v>
      </c>
      <c r="K724" s="190">
        <f t="shared" si="58"/>
        <v>0</v>
      </c>
      <c r="L724" s="177"/>
      <c r="M724" s="70"/>
      <c r="N724" s="70"/>
      <c r="O724" s="189"/>
      <c r="P724" s="177"/>
      <c r="Q724" s="70">
        <f t="shared" si="59"/>
        <v>1373</v>
      </c>
      <c r="R724" s="70">
        <f t="shared" si="60"/>
        <v>0</v>
      </c>
      <c r="S724" s="188">
        <f t="shared" si="61"/>
        <v>0</v>
      </c>
    </row>
    <row r="725" spans="2:19" ht="12.75">
      <c r="B725" s="95">
        <f t="shared" si="62"/>
        <v>179</v>
      </c>
      <c r="C725" s="3"/>
      <c r="D725" s="3"/>
      <c r="E725" s="3"/>
      <c r="F725" s="92" t="s">
        <v>123</v>
      </c>
      <c r="G725" s="93">
        <v>630</v>
      </c>
      <c r="H725" s="3" t="s">
        <v>545</v>
      </c>
      <c r="I725" s="70">
        <v>2484</v>
      </c>
      <c r="J725" s="70">
        <v>2484</v>
      </c>
      <c r="K725" s="190">
        <f t="shared" si="58"/>
        <v>100</v>
      </c>
      <c r="L725" s="177"/>
      <c r="M725" s="70"/>
      <c r="N725" s="70"/>
      <c r="O725" s="189"/>
      <c r="P725" s="177"/>
      <c r="Q725" s="70">
        <f t="shared" si="59"/>
        <v>2484</v>
      </c>
      <c r="R725" s="70">
        <f t="shared" si="60"/>
        <v>2484</v>
      </c>
      <c r="S725" s="188">
        <f t="shared" si="61"/>
        <v>100</v>
      </c>
    </row>
    <row r="726" spans="2:19" ht="15">
      <c r="B726" s="95">
        <f t="shared" si="62"/>
        <v>180</v>
      </c>
      <c r="C726" s="12"/>
      <c r="D726" s="12"/>
      <c r="E726" s="12">
        <v>6</v>
      </c>
      <c r="F726" s="35"/>
      <c r="G726" s="43"/>
      <c r="H726" s="12" t="s">
        <v>10</v>
      </c>
      <c r="I726" s="82">
        <f>I727+I728+I729+I737+I738+I739+I740+I749+I750</f>
        <v>1086188</v>
      </c>
      <c r="J726" s="82">
        <f>J727+J728+J729+J737+J738+J739+J740+J749+J750</f>
        <v>408955</v>
      </c>
      <c r="K726" s="190">
        <f t="shared" si="58"/>
        <v>37.650480395658946</v>
      </c>
      <c r="L726" s="182"/>
      <c r="M726" s="82">
        <f>M751</f>
        <v>69793</v>
      </c>
      <c r="N726" s="82">
        <f>N751</f>
        <v>0</v>
      </c>
      <c r="O726" s="189">
        <f>N726/M726*100</f>
        <v>0</v>
      </c>
      <c r="P726" s="182"/>
      <c r="Q726" s="82">
        <f t="shared" si="59"/>
        <v>1155981</v>
      </c>
      <c r="R726" s="82">
        <f t="shared" si="60"/>
        <v>408955</v>
      </c>
      <c r="S726" s="188">
        <f t="shared" si="61"/>
        <v>35.37731156480945</v>
      </c>
    </row>
    <row r="727" spans="2:19" ht="12.75">
      <c r="B727" s="95">
        <f t="shared" si="62"/>
        <v>181</v>
      </c>
      <c r="C727" s="3"/>
      <c r="D727" s="3"/>
      <c r="E727" s="3"/>
      <c r="F727" s="92" t="s">
        <v>123</v>
      </c>
      <c r="G727" s="93">
        <v>610</v>
      </c>
      <c r="H727" s="3" t="s">
        <v>134</v>
      </c>
      <c r="I727" s="70">
        <f>269191+13303</f>
        <v>282494</v>
      </c>
      <c r="J727" s="70">
        <v>100155</v>
      </c>
      <c r="K727" s="190">
        <f t="shared" si="58"/>
        <v>35.453850347264016</v>
      </c>
      <c r="L727" s="177"/>
      <c r="M727" s="70"/>
      <c r="N727" s="70"/>
      <c r="O727" s="189"/>
      <c r="P727" s="177"/>
      <c r="Q727" s="70">
        <f t="shared" si="59"/>
        <v>282494</v>
      </c>
      <c r="R727" s="70">
        <f t="shared" si="60"/>
        <v>100155</v>
      </c>
      <c r="S727" s="188">
        <f t="shared" si="61"/>
        <v>35.453850347264016</v>
      </c>
    </row>
    <row r="728" spans="2:19" ht="12.75">
      <c r="B728" s="95">
        <f t="shared" si="62"/>
        <v>182</v>
      </c>
      <c r="C728" s="3"/>
      <c r="D728" s="3"/>
      <c r="E728" s="3"/>
      <c r="F728" s="92" t="s">
        <v>123</v>
      </c>
      <c r="G728" s="93">
        <v>620</v>
      </c>
      <c r="H728" s="3" t="s">
        <v>128</v>
      </c>
      <c r="I728" s="70">
        <f>88887+4649</f>
        <v>93536</v>
      </c>
      <c r="J728" s="70">
        <v>34660</v>
      </c>
      <c r="K728" s="190">
        <f t="shared" si="58"/>
        <v>37.05525145398563</v>
      </c>
      <c r="L728" s="177"/>
      <c r="M728" s="70"/>
      <c r="N728" s="70"/>
      <c r="O728" s="189"/>
      <c r="P728" s="177"/>
      <c r="Q728" s="70">
        <f t="shared" si="59"/>
        <v>93536</v>
      </c>
      <c r="R728" s="70">
        <f t="shared" si="60"/>
        <v>34660</v>
      </c>
      <c r="S728" s="188">
        <f t="shared" si="61"/>
        <v>37.05525145398563</v>
      </c>
    </row>
    <row r="729" spans="2:19" ht="12.75">
      <c r="B729" s="95">
        <f t="shared" si="62"/>
        <v>183</v>
      </c>
      <c r="C729" s="3"/>
      <c r="D729" s="3"/>
      <c r="E729" s="3"/>
      <c r="F729" s="92" t="s">
        <v>123</v>
      </c>
      <c r="G729" s="93">
        <v>630</v>
      </c>
      <c r="H729" s="3" t="s">
        <v>125</v>
      </c>
      <c r="I729" s="70">
        <f>SUM(I730:I736)</f>
        <v>66161</v>
      </c>
      <c r="J729" s="70">
        <f>SUM(J730:J736)</f>
        <v>13719</v>
      </c>
      <c r="K729" s="190">
        <f t="shared" si="58"/>
        <v>20.73578089811218</v>
      </c>
      <c r="L729" s="177"/>
      <c r="M729" s="70"/>
      <c r="N729" s="70"/>
      <c r="O729" s="189"/>
      <c r="P729" s="177"/>
      <c r="Q729" s="70">
        <f t="shared" si="59"/>
        <v>66161</v>
      </c>
      <c r="R729" s="70">
        <f t="shared" si="60"/>
        <v>13719</v>
      </c>
      <c r="S729" s="188">
        <f t="shared" si="61"/>
        <v>20.73578089811218</v>
      </c>
    </row>
    <row r="730" spans="2:19" ht="12.75">
      <c r="B730" s="95">
        <f t="shared" si="62"/>
        <v>184</v>
      </c>
      <c r="C730" s="4"/>
      <c r="D730" s="4"/>
      <c r="E730" s="4"/>
      <c r="F730" s="32" t="s">
        <v>123</v>
      </c>
      <c r="G730" s="41">
        <v>631</v>
      </c>
      <c r="H730" s="4" t="s">
        <v>131</v>
      </c>
      <c r="I730" s="71">
        <v>249</v>
      </c>
      <c r="J730" s="71">
        <v>0</v>
      </c>
      <c r="K730" s="190">
        <f t="shared" si="58"/>
        <v>0</v>
      </c>
      <c r="L730" s="178"/>
      <c r="M730" s="71"/>
      <c r="N730" s="71"/>
      <c r="O730" s="189"/>
      <c r="P730" s="178"/>
      <c r="Q730" s="71">
        <f t="shared" si="59"/>
        <v>249</v>
      </c>
      <c r="R730" s="71">
        <f t="shared" si="60"/>
        <v>0</v>
      </c>
      <c r="S730" s="188">
        <f t="shared" si="61"/>
        <v>0</v>
      </c>
    </row>
    <row r="731" spans="2:19" ht="12.75">
      <c r="B731" s="95">
        <f t="shared" si="62"/>
        <v>185</v>
      </c>
      <c r="C731" s="4"/>
      <c r="D731" s="4"/>
      <c r="E731" s="4"/>
      <c r="F731" s="32" t="s">
        <v>123</v>
      </c>
      <c r="G731" s="41">
        <v>632</v>
      </c>
      <c r="H731" s="4" t="s">
        <v>138</v>
      </c>
      <c r="I731" s="71">
        <f>29948+2200</f>
        <v>32148</v>
      </c>
      <c r="J731" s="71">
        <v>6312</v>
      </c>
      <c r="K731" s="190">
        <f t="shared" si="58"/>
        <v>19.634191862635312</v>
      </c>
      <c r="L731" s="178"/>
      <c r="M731" s="71"/>
      <c r="N731" s="71"/>
      <c r="O731" s="189"/>
      <c r="P731" s="178"/>
      <c r="Q731" s="71">
        <f t="shared" si="59"/>
        <v>32148</v>
      </c>
      <c r="R731" s="71">
        <f t="shared" si="60"/>
        <v>6312</v>
      </c>
      <c r="S731" s="188">
        <f t="shared" si="61"/>
        <v>19.634191862635312</v>
      </c>
    </row>
    <row r="732" spans="2:19" ht="12.75">
      <c r="B732" s="95">
        <f t="shared" si="62"/>
        <v>186</v>
      </c>
      <c r="C732" s="4"/>
      <c r="D732" s="4"/>
      <c r="E732" s="4"/>
      <c r="F732" s="32" t="s">
        <v>123</v>
      </c>
      <c r="G732" s="41">
        <v>633</v>
      </c>
      <c r="H732" s="4" t="s">
        <v>129</v>
      </c>
      <c r="I732" s="71">
        <v>10317</v>
      </c>
      <c r="J732" s="164">
        <v>3540</v>
      </c>
      <c r="K732" s="190">
        <f t="shared" si="58"/>
        <v>34.31230008723466</v>
      </c>
      <c r="L732" s="178"/>
      <c r="M732" s="71"/>
      <c r="N732" s="71"/>
      <c r="O732" s="189"/>
      <c r="P732" s="178"/>
      <c r="Q732" s="71">
        <f t="shared" si="59"/>
        <v>10317</v>
      </c>
      <c r="R732" s="71">
        <f t="shared" si="60"/>
        <v>3540</v>
      </c>
      <c r="S732" s="188">
        <f t="shared" si="61"/>
        <v>34.31230008723466</v>
      </c>
    </row>
    <row r="733" spans="2:19" ht="12.75">
      <c r="B733" s="95">
        <f t="shared" si="62"/>
        <v>187</v>
      </c>
      <c r="C733" s="4"/>
      <c r="D733" s="4"/>
      <c r="E733" s="4"/>
      <c r="F733" s="32" t="s">
        <v>123</v>
      </c>
      <c r="G733" s="41">
        <v>634</v>
      </c>
      <c r="H733" s="4" t="s">
        <v>135</v>
      </c>
      <c r="I733" s="71">
        <v>1791</v>
      </c>
      <c r="J733" s="164">
        <v>14</v>
      </c>
      <c r="K733" s="190">
        <f t="shared" si="58"/>
        <v>0.7816862088218872</v>
      </c>
      <c r="L733" s="178"/>
      <c r="M733" s="71"/>
      <c r="N733" s="71"/>
      <c r="O733" s="189"/>
      <c r="P733" s="178"/>
      <c r="Q733" s="71">
        <f t="shared" si="59"/>
        <v>1791</v>
      </c>
      <c r="R733" s="71">
        <f t="shared" si="60"/>
        <v>14</v>
      </c>
      <c r="S733" s="188">
        <f t="shared" si="61"/>
        <v>0.7816862088218872</v>
      </c>
    </row>
    <row r="734" spans="2:19" ht="12.75">
      <c r="B734" s="95">
        <f t="shared" si="62"/>
        <v>188</v>
      </c>
      <c r="C734" s="4"/>
      <c r="D734" s="4"/>
      <c r="E734" s="4"/>
      <c r="F734" s="32" t="s">
        <v>123</v>
      </c>
      <c r="G734" s="41">
        <v>635</v>
      </c>
      <c r="H734" s="4" t="s">
        <v>136</v>
      </c>
      <c r="I734" s="71">
        <v>6231</v>
      </c>
      <c r="J734" s="164">
        <v>50</v>
      </c>
      <c r="K734" s="190">
        <f t="shared" si="58"/>
        <v>0.8024394158241053</v>
      </c>
      <c r="L734" s="178"/>
      <c r="M734" s="71"/>
      <c r="N734" s="71"/>
      <c r="O734" s="189"/>
      <c r="P734" s="178"/>
      <c r="Q734" s="71">
        <f t="shared" si="59"/>
        <v>6231</v>
      </c>
      <c r="R734" s="71">
        <f t="shared" si="60"/>
        <v>50</v>
      </c>
      <c r="S734" s="188">
        <f t="shared" si="61"/>
        <v>0.8024394158241053</v>
      </c>
    </row>
    <row r="735" spans="2:19" ht="12.75">
      <c r="B735" s="95">
        <f t="shared" si="62"/>
        <v>189</v>
      </c>
      <c r="C735" s="4"/>
      <c r="D735" s="4"/>
      <c r="E735" s="4"/>
      <c r="F735" s="32" t="s">
        <v>123</v>
      </c>
      <c r="G735" s="41">
        <v>636</v>
      </c>
      <c r="H735" s="4" t="s">
        <v>130</v>
      </c>
      <c r="I735" s="71">
        <v>0</v>
      </c>
      <c r="J735" s="164">
        <v>309</v>
      </c>
      <c r="K735" s="190"/>
      <c r="L735" s="178"/>
      <c r="M735" s="71"/>
      <c r="N735" s="71"/>
      <c r="O735" s="189"/>
      <c r="P735" s="178"/>
      <c r="Q735" s="71">
        <f t="shared" si="59"/>
        <v>0</v>
      </c>
      <c r="R735" s="71">
        <f t="shared" si="60"/>
        <v>309</v>
      </c>
      <c r="S735" s="188"/>
    </row>
    <row r="736" spans="2:19" ht="12.75">
      <c r="B736" s="95">
        <f t="shared" si="62"/>
        <v>190</v>
      </c>
      <c r="C736" s="4"/>
      <c r="D736" s="4"/>
      <c r="E736" s="4"/>
      <c r="F736" s="32" t="s">
        <v>123</v>
      </c>
      <c r="G736" s="41">
        <v>637</v>
      </c>
      <c r="H736" s="4" t="s">
        <v>126</v>
      </c>
      <c r="I736" s="71">
        <v>15425</v>
      </c>
      <c r="J736" s="164">
        <v>3494</v>
      </c>
      <c r="K736" s="190">
        <f t="shared" si="58"/>
        <v>22.6515397082658</v>
      </c>
      <c r="L736" s="178"/>
      <c r="M736" s="71"/>
      <c r="N736" s="71"/>
      <c r="O736" s="189"/>
      <c r="P736" s="178"/>
      <c r="Q736" s="71">
        <f t="shared" si="59"/>
        <v>15425</v>
      </c>
      <c r="R736" s="71">
        <f t="shared" si="60"/>
        <v>3494</v>
      </c>
      <c r="S736" s="188">
        <f t="shared" si="61"/>
        <v>22.6515397082658</v>
      </c>
    </row>
    <row r="737" spans="2:19" ht="12.75">
      <c r="B737" s="95">
        <f t="shared" si="62"/>
        <v>191</v>
      </c>
      <c r="C737" s="3"/>
      <c r="D737" s="3"/>
      <c r="E737" s="3"/>
      <c r="F737" s="92" t="s">
        <v>123</v>
      </c>
      <c r="G737" s="93">
        <v>640</v>
      </c>
      <c r="H737" s="3" t="s">
        <v>132</v>
      </c>
      <c r="I737" s="70">
        <f>478+500</f>
        <v>978</v>
      </c>
      <c r="J737" s="72">
        <v>773</v>
      </c>
      <c r="K737" s="190">
        <f t="shared" si="58"/>
        <v>79.03885480572596</v>
      </c>
      <c r="L737" s="177"/>
      <c r="M737" s="70"/>
      <c r="N737" s="70"/>
      <c r="O737" s="189"/>
      <c r="P737" s="177"/>
      <c r="Q737" s="70">
        <f t="shared" si="59"/>
        <v>978</v>
      </c>
      <c r="R737" s="70">
        <f t="shared" si="60"/>
        <v>773</v>
      </c>
      <c r="S737" s="188">
        <f t="shared" si="61"/>
        <v>79.03885480572596</v>
      </c>
    </row>
    <row r="738" spans="2:19" ht="12.75">
      <c r="B738" s="95">
        <f t="shared" si="62"/>
        <v>192</v>
      </c>
      <c r="C738" s="3"/>
      <c r="D738" s="3"/>
      <c r="E738" s="3"/>
      <c r="F738" s="92" t="s">
        <v>109</v>
      </c>
      <c r="G738" s="93">
        <v>610</v>
      </c>
      <c r="H738" s="3" t="s">
        <v>134</v>
      </c>
      <c r="I738" s="70">
        <f>368286+16259+50</f>
        <v>384595</v>
      </c>
      <c r="J738" s="72">
        <v>154397</v>
      </c>
      <c r="K738" s="190">
        <f t="shared" si="58"/>
        <v>40.14534770342828</v>
      </c>
      <c r="L738" s="177"/>
      <c r="M738" s="70"/>
      <c r="N738" s="70"/>
      <c r="O738" s="189"/>
      <c r="P738" s="177"/>
      <c r="Q738" s="70">
        <f t="shared" si="59"/>
        <v>384595</v>
      </c>
      <c r="R738" s="70">
        <f t="shared" si="60"/>
        <v>154397</v>
      </c>
      <c r="S738" s="188">
        <f t="shared" si="61"/>
        <v>40.14534770342828</v>
      </c>
    </row>
    <row r="739" spans="2:19" ht="12.75">
      <c r="B739" s="95">
        <f t="shared" si="62"/>
        <v>193</v>
      </c>
      <c r="C739" s="3"/>
      <c r="D739" s="3"/>
      <c r="E739" s="3"/>
      <c r="F739" s="92" t="s">
        <v>109</v>
      </c>
      <c r="G739" s="93">
        <v>620</v>
      </c>
      <c r="H739" s="3" t="s">
        <v>128</v>
      </c>
      <c r="I739" s="70">
        <f>112394+5683+10</f>
        <v>118087</v>
      </c>
      <c r="J739" s="72">
        <v>52878</v>
      </c>
      <c r="K739" s="190">
        <f t="shared" si="58"/>
        <v>44.77884949232346</v>
      </c>
      <c r="L739" s="177"/>
      <c r="M739" s="70"/>
      <c r="N739" s="70"/>
      <c r="O739" s="189"/>
      <c r="P739" s="177"/>
      <c r="Q739" s="70">
        <f t="shared" si="59"/>
        <v>118087</v>
      </c>
      <c r="R739" s="70">
        <f t="shared" si="60"/>
        <v>52878</v>
      </c>
      <c r="S739" s="188">
        <f t="shared" si="61"/>
        <v>44.77884949232346</v>
      </c>
    </row>
    <row r="740" spans="2:19" ht="12.75">
      <c r="B740" s="95">
        <f t="shared" si="62"/>
        <v>194</v>
      </c>
      <c r="C740" s="3"/>
      <c r="D740" s="3"/>
      <c r="E740" s="3"/>
      <c r="F740" s="92" t="s">
        <v>109</v>
      </c>
      <c r="G740" s="93">
        <v>630</v>
      </c>
      <c r="H740" s="3" t="s">
        <v>125</v>
      </c>
      <c r="I740" s="70">
        <f>SUM(I741:I748)</f>
        <v>114303</v>
      </c>
      <c r="J740" s="72">
        <f>SUM(J741:J748)</f>
        <v>29438</v>
      </c>
      <c r="K740" s="190">
        <f aca="true" t="shared" si="63" ref="K740:K801">J740/I740*100</f>
        <v>25.754354653858602</v>
      </c>
      <c r="L740" s="177"/>
      <c r="M740" s="70"/>
      <c r="N740" s="70"/>
      <c r="O740" s="189"/>
      <c r="P740" s="177"/>
      <c r="Q740" s="70">
        <f aca="true" t="shared" si="64" ref="Q740:Q805">M740+I740</f>
        <v>114303</v>
      </c>
      <c r="R740" s="70">
        <f aca="true" t="shared" si="65" ref="R740:R805">N740+J740</f>
        <v>29438</v>
      </c>
      <c r="S740" s="188">
        <f aca="true" t="shared" si="66" ref="S740:S805">R740/Q740*100</f>
        <v>25.754354653858602</v>
      </c>
    </row>
    <row r="741" spans="2:19" ht="12.75">
      <c r="B741" s="95">
        <f t="shared" si="62"/>
        <v>195</v>
      </c>
      <c r="C741" s="4"/>
      <c r="D741" s="4"/>
      <c r="E741" s="4"/>
      <c r="F741" s="32" t="s">
        <v>109</v>
      </c>
      <c r="G741" s="41">
        <v>631</v>
      </c>
      <c r="H741" s="4" t="s">
        <v>131</v>
      </c>
      <c r="I741" s="71">
        <v>205</v>
      </c>
      <c r="J741" s="164">
        <v>2535</v>
      </c>
      <c r="K741" s="190">
        <f t="shared" si="63"/>
        <v>1236.5853658536585</v>
      </c>
      <c r="L741" s="178"/>
      <c r="M741" s="71"/>
      <c r="N741" s="71"/>
      <c r="O741" s="189"/>
      <c r="P741" s="178"/>
      <c r="Q741" s="71">
        <f t="shared" si="64"/>
        <v>205</v>
      </c>
      <c r="R741" s="71">
        <f t="shared" si="65"/>
        <v>2535</v>
      </c>
      <c r="S741" s="188">
        <f t="shared" si="66"/>
        <v>1236.5853658536585</v>
      </c>
    </row>
    <row r="742" spans="2:19" ht="12.75">
      <c r="B742" s="95">
        <f aca="true" t="shared" si="67" ref="B742:B807">B741+1</f>
        <v>196</v>
      </c>
      <c r="C742" s="4"/>
      <c r="D742" s="4"/>
      <c r="E742" s="4"/>
      <c r="F742" s="32" t="s">
        <v>109</v>
      </c>
      <c r="G742" s="41">
        <v>632</v>
      </c>
      <c r="H742" s="4" t="s">
        <v>138</v>
      </c>
      <c r="I742" s="71">
        <f>25360+1800</f>
        <v>27160</v>
      </c>
      <c r="J742" s="164">
        <v>5165</v>
      </c>
      <c r="K742" s="190">
        <f t="shared" si="63"/>
        <v>19.016936671575845</v>
      </c>
      <c r="L742" s="178"/>
      <c r="M742" s="71"/>
      <c r="N742" s="71"/>
      <c r="O742" s="189"/>
      <c r="P742" s="178"/>
      <c r="Q742" s="71">
        <f t="shared" si="64"/>
        <v>27160</v>
      </c>
      <c r="R742" s="71">
        <f t="shared" si="65"/>
        <v>5165</v>
      </c>
      <c r="S742" s="188">
        <f t="shared" si="66"/>
        <v>19.016936671575845</v>
      </c>
    </row>
    <row r="743" spans="2:19" ht="12.75">
      <c r="B743" s="95">
        <f t="shared" si="67"/>
        <v>197</v>
      </c>
      <c r="C743" s="4"/>
      <c r="D743" s="4"/>
      <c r="E743" s="4"/>
      <c r="F743" s="32" t="s">
        <v>109</v>
      </c>
      <c r="G743" s="41">
        <v>633</v>
      </c>
      <c r="H743" s="4" t="s">
        <v>129</v>
      </c>
      <c r="I743" s="71">
        <f>16169-7728</f>
        <v>8441</v>
      </c>
      <c r="J743" s="164">
        <v>7479</v>
      </c>
      <c r="K743" s="190">
        <f t="shared" si="63"/>
        <v>88.60324606089326</v>
      </c>
      <c r="L743" s="178"/>
      <c r="M743" s="71"/>
      <c r="N743" s="71"/>
      <c r="O743" s="189"/>
      <c r="P743" s="178"/>
      <c r="Q743" s="71">
        <f t="shared" si="64"/>
        <v>8441</v>
      </c>
      <c r="R743" s="71">
        <f t="shared" si="65"/>
        <v>7479</v>
      </c>
      <c r="S743" s="188">
        <f t="shared" si="66"/>
        <v>88.60324606089326</v>
      </c>
    </row>
    <row r="744" spans="2:19" ht="12.75">
      <c r="B744" s="95">
        <f t="shared" si="67"/>
        <v>198</v>
      </c>
      <c r="C744" s="4"/>
      <c r="D744" s="4"/>
      <c r="E744" s="4"/>
      <c r="F744" s="32" t="s">
        <v>109</v>
      </c>
      <c r="G744" s="41">
        <v>634</v>
      </c>
      <c r="H744" s="4" t="s">
        <v>135</v>
      </c>
      <c r="I744" s="71">
        <v>3241</v>
      </c>
      <c r="J744" s="164">
        <v>908</v>
      </c>
      <c r="K744" s="190">
        <f t="shared" si="63"/>
        <v>28.016044430731256</v>
      </c>
      <c r="L744" s="178"/>
      <c r="M744" s="71"/>
      <c r="N744" s="71"/>
      <c r="O744" s="189"/>
      <c r="P744" s="178"/>
      <c r="Q744" s="71">
        <f t="shared" si="64"/>
        <v>3241</v>
      </c>
      <c r="R744" s="71">
        <f t="shared" si="65"/>
        <v>908</v>
      </c>
      <c r="S744" s="188">
        <f t="shared" si="66"/>
        <v>28.016044430731256</v>
      </c>
    </row>
    <row r="745" spans="2:19" ht="12.75">
      <c r="B745" s="95">
        <f t="shared" si="67"/>
        <v>199</v>
      </c>
      <c r="C745" s="4"/>
      <c r="D745" s="4"/>
      <c r="E745" s="4"/>
      <c r="F745" s="32" t="s">
        <v>109</v>
      </c>
      <c r="G745" s="41">
        <v>635</v>
      </c>
      <c r="H745" s="4" t="s">
        <v>136</v>
      </c>
      <c r="I745" s="71">
        <v>47214</v>
      </c>
      <c r="J745" s="164">
        <v>5461</v>
      </c>
      <c r="K745" s="190">
        <f t="shared" si="63"/>
        <v>11.56648451730419</v>
      </c>
      <c r="L745" s="178"/>
      <c r="M745" s="71"/>
      <c r="N745" s="71"/>
      <c r="O745" s="189"/>
      <c r="P745" s="178"/>
      <c r="Q745" s="71">
        <f t="shared" si="64"/>
        <v>47214</v>
      </c>
      <c r="R745" s="71">
        <f t="shared" si="65"/>
        <v>5461</v>
      </c>
      <c r="S745" s="188">
        <f t="shared" si="66"/>
        <v>11.56648451730419</v>
      </c>
    </row>
    <row r="746" spans="2:19" ht="12.75">
      <c r="B746" s="95">
        <f t="shared" si="67"/>
        <v>200</v>
      </c>
      <c r="C746" s="4"/>
      <c r="D746" s="4"/>
      <c r="E746" s="4"/>
      <c r="F746" s="32" t="s">
        <v>109</v>
      </c>
      <c r="G746" s="41">
        <v>636</v>
      </c>
      <c r="H746" s="4" t="s">
        <v>130</v>
      </c>
      <c r="I746" s="71">
        <v>0</v>
      </c>
      <c r="J746" s="164">
        <v>253</v>
      </c>
      <c r="K746" s="190"/>
      <c r="L746" s="178"/>
      <c r="M746" s="71"/>
      <c r="N746" s="71"/>
      <c r="O746" s="189"/>
      <c r="P746" s="178"/>
      <c r="Q746" s="71">
        <f t="shared" si="64"/>
        <v>0</v>
      </c>
      <c r="R746" s="71">
        <f t="shared" si="65"/>
        <v>253</v>
      </c>
      <c r="S746" s="188"/>
    </row>
    <row r="747" spans="2:19" ht="12.75">
      <c r="B747" s="95">
        <f t="shared" si="67"/>
        <v>201</v>
      </c>
      <c r="C747" s="4"/>
      <c r="D747" s="4"/>
      <c r="E747" s="4"/>
      <c r="F747" s="32" t="s">
        <v>109</v>
      </c>
      <c r="G747" s="41">
        <v>637</v>
      </c>
      <c r="H747" s="4" t="s">
        <v>126</v>
      </c>
      <c r="I747" s="71">
        <v>14017</v>
      </c>
      <c r="J747" s="164">
        <v>7477</v>
      </c>
      <c r="K747" s="190">
        <f t="shared" si="63"/>
        <v>53.34236997931083</v>
      </c>
      <c r="L747" s="178"/>
      <c r="M747" s="71"/>
      <c r="N747" s="71"/>
      <c r="O747" s="189"/>
      <c r="P747" s="178"/>
      <c r="Q747" s="71">
        <f t="shared" si="64"/>
        <v>14017</v>
      </c>
      <c r="R747" s="71">
        <f t="shared" si="65"/>
        <v>7477</v>
      </c>
      <c r="S747" s="188">
        <f t="shared" si="66"/>
        <v>53.34236997931083</v>
      </c>
    </row>
    <row r="748" spans="2:19" ht="12.75">
      <c r="B748" s="95">
        <f t="shared" si="67"/>
        <v>202</v>
      </c>
      <c r="C748" s="4"/>
      <c r="D748" s="4"/>
      <c r="E748" s="4"/>
      <c r="F748" s="32" t="s">
        <v>109</v>
      </c>
      <c r="G748" s="41">
        <v>637</v>
      </c>
      <c r="H748" s="4" t="s">
        <v>295</v>
      </c>
      <c r="I748" s="71">
        <v>14025</v>
      </c>
      <c r="J748" s="164">
        <v>160</v>
      </c>
      <c r="K748" s="190">
        <f t="shared" si="63"/>
        <v>1.1408199643493762</v>
      </c>
      <c r="L748" s="178"/>
      <c r="M748" s="71"/>
      <c r="N748" s="71"/>
      <c r="O748" s="189"/>
      <c r="P748" s="178"/>
      <c r="Q748" s="71">
        <f t="shared" si="64"/>
        <v>14025</v>
      </c>
      <c r="R748" s="71">
        <f t="shared" si="65"/>
        <v>160</v>
      </c>
      <c r="S748" s="188">
        <f t="shared" si="66"/>
        <v>1.1408199643493762</v>
      </c>
    </row>
    <row r="749" spans="2:19" ht="12.75">
      <c r="B749" s="95">
        <f t="shared" si="67"/>
        <v>203</v>
      </c>
      <c r="C749" s="3"/>
      <c r="D749" s="3"/>
      <c r="E749" s="3"/>
      <c r="F749" s="92" t="s">
        <v>109</v>
      </c>
      <c r="G749" s="93">
        <v>640</v>
      </c>
      <c r="H749" s="3" t="s">
        <v>132</v>
      </c>
      <c r="I749" s="70">
        <f>636+500</f>
        <v>1136</v>
      </c>
      <c r="J749" s="72">
        <v>324</v>
      </c>
      <c r="K749" s="190">
        <f t="shared" si="63"/>
        <v>28.52112676056338</v>
      </c>
      <c r="L749" s="177"/>
      <c r="M749" s="70"/>
      <c r="N749" s="70"/>
      <c r="O749" s="189"/>
      <c r="P749" s="177"/>
      <c r="Q749" s="70">
        <f t="shared" si="64"/>
        <v>1136</v>
      </c>
      <c r="R749" s="70">
        <f t="shared" si="65"/>
        <v>324</v>
      </c>
      <c r="S749" s="188">
        <f t="shared" si="66"/>
        <v>28.52112676056338</v>
      </c>
    </row>
    <row r="750" spans="2:19" ht="12.75">
      <c r="B750" s="95">
        <f t="shared" si="67"/>
        <v>204</v>
      </c>
      <c r="C750" s="3"/>
      <c r="D750" s="3"/>
      <c r="E750" s="3"/>
      <c r="F750" s="92"/>
      <c r="G750" s="93">
        <v>630</v>
      </c>
      <c r="H750" s="3" t="s">
        <v>545</v>
      </c>
      <c r="I750" s="70">
        <v>24898</v>
      </c>
      <c r="J750" s="72">
        <v>22611</v>
      </c>
      <c r="K750" s="190">
        <f t="shared" si="63"/>
        <v>90.8145232548799</v>
      </c>
      <c r="L750" s="177"/>
      <c r="M750" s="70"/>
      <c r="N750" s="70"/>
      <c r="O750" s="189"/>
      <c r="P750" s="177"/>
      <c r="Q750" s="70">
        <f t="shared" si="64"/>
        <v>24898</v>
      </c>
      <c r="R750" s="70">
        <f t="shared" si="65"/>
        <v>22611</v>
      </c>
      <c r="S750" s="188">
        <f t="shared" si="66"/>
        <v>90.8145232548799</v>
      </c>
    </row>
    <row r="751" spans="2:19" ht="12.75">
      <c r="B751" s="95">
        <f t="shared" si="67"/>
        <v>205</v>
      </c>
      <c r="C751" s="3"/>
      <c r="D751" s="3"/>
      <c r="E751" s="3"/>
      <c r="F751" s="92" t="s">
        <v>109</v>
      </c>
      <c r="G751" s="93">
        <v>710</v>
      </c>
      <c r="H751" s="3" t="s">
        <v>180</v>
      </c>
      <c r="I751" s="70"/>
      <c r="J751" s="70"/>
      <c r="K751" s="190"/>
      <c r="L751" s="177"/>
      <c r="M751" s="70">
        <f>M752</f>
        <v>69793</v>
      </c>
      <c r="N751" s="70">
        <f>N752</f>
        <v>0</v>
      </c>
      <c r="O751" s="189">
        <f>N751/M751*100</f>
        <v>0</v>
      </c>
      <c r="P751" s="177"/>
      <c r="Q751" s="70">
        <f t="shared" si="64"/>
        <v>69793</v>
      </c>
      <c r="R751" s="70">
        <f t="shared" si="65"/>
        <v>0</v>
      </c>
      <c r="S751" s="188">
        <f t="shared" si="66"/>
        <v>0</v>
      </c>
    </row>
    <row r="752" spans="2:19" ht="12.75">
      <c r="B752" s="95">
        <f t="shared" si="67"/>
        <v>206</v>
      </c>
      <c r="C752" s="3"/>
      <c r="D752" s="3"/>
      <c r="E752" s="3"/>
      <c r="F752" s="34" t="s">
        <v>109</v>
      </c>
      <c r="G752" s="62">
        <v>717</v>
      </c>
      <c r="H752" s="14" t="s">
        <v>190</v>
      </c>
      <c r="I752" s="70"/>
      <c r="J752" s="70"/>
      <c r="K752" s="190"/>
      <c r="L752" s="177"/>
      <c r="M752" s="71">
        <f>M753</f>
        <v>69793</v>
      </c>
      <c r="N752" s="71">
        <f>N753</f>
        <v>0</v>
      </c>
      <c r="O752" s="189">
        <f>N752/M752*100</f>
        <v>0</v>
      </c>
      <c r="P752" s="178"/>
      <c r="Q752" s="70">
        <f t="shared" si="64"/>
        <v>69793</v>
      </c>
      <c r="R752" s="70">
        <f t="shared" si="65"/>
        <v>0</v>
      </c>
      <c r="S752" s="188">
        <f t="shared" si="66"/>
        <v>0</v>
      </c>
    </row>
    <row r="753" spans="2:19" ht="12.75">
      <c r="B753" s="95">
        <f t="shared" si="67"/>
        <v>207</v>
      </c>
      <c r="C753" s="3"/>
      <c r="D753" s="3"/>
      <c r="E753" s="3"/>
      <c r="F753" s="34"/>
      <c r="G753" s="62"/>
      <c r="H753" s="5" t="s">
        <v>388</v>
      </c>
      <c r="I753" s="70"/>
      <c r="J753" s="70"/>
      <c r="K753" s="190"/>
      <c r="L753" s="177"/>
      <c r="M753" s="75">
        <v>69793</v>
      </c>
      <c r="N753" s="75">
        <v>0</v>
      </c>
      <c r="O753" s="189">
        <f>N753/M753*100</f>
        <v>0</v>
      </c>
      <c r="P753" s="99"/>
      <c r="Q753" s="70">
        <f t="shared" si="64"/>
        <v>69793</v>
      </c>
      <c r="R753" s="70">
        <f t="shared" si="65"/>
        <v>0</v>
      </c>
      <c r="S753" s="188">
        <f t="shared" si="66"/>
        <v>0</v>
      </c>
    </row>
    <row r="754" spans="2:21" ht="15">
      <c r="B754" s="95">
        <f t="shared" si="67"/>
        <v>208</v>
      </c>
      <c r="C754" s="12"/>
      <c r="D754" s="12"/>
      <c r="E754" s="12">
        <v>7</v>
      </c>
      <c r="F754" s="35"/>
      <c r="G754" s="43"/>
      <c r="H754" s="12" t="s">
        <v>11</v>
      </c>
      <c r="I754" s="82">
        <f>I755+I756+I757+I763+I764+I765+I766+I775+I774</f>
        <v>1431431</v>
      </c>
      <c r="J754" s="82">
        <f>J755+J756+J757+J763+J764+J765+J766+J775+J774</f>
        <v>555477</v>
      </c>
      <c r="K754" s="190">
        <f t="shared" si="63"/>
        <v>38.80571260507841</v>
      </c>
      <c r="L754" s="182"/>
      <c r="M754" s="82">
        <f>M776</f>
        <v>430000</v>
      </c>
      <c r="N754" s="82">
        <f>N776</f>
        <v>0</v>
      </c>
      <c r="O754" s="189">
        <f>N754/M754*100</f>
        <v>0</v>
      </c>
      <c r="P754" s="182"/>
      <c r="Q754" s="82">
        <f t="shared" si="64"/>
        <v>1861431</v>
      </c>
      <c r="R754" s="82">
        <f t="shared" si="65"/>
        <v>555477</v>
      </c>
      <c r="S754" s="188">
        <f t="shared" si="66"/>
        <v>29.84139621613694</v>
      </c>
      <c r="U754" s="16">
        <f>J754-555477</f>
        <v>0</v>
      </c>
    </row>
    <row r="755" spans="2:19" ht="12.75">
      <c r="B755" s="95">
        <f t="shared" si="67"/>
        <v>209</v>
      </c>
      <c r="C755" s="3"/>
      <c r="D755" s="3"/>
      <c r="E755" s="3"/>
      <c r="F755" s="92" t="s">
        <v>123</v>
      </c>
      <c r="G755" s="93">
        <v>610</v>
      </c>
      <c r="H755" s="3" t="s">
        <v>134</v>
      </c>
      <c r="I755" s="70">
        <f>328310-11329</f>
        <v>316981</v>
      </c>
      <c r="J755" s="70">
        <v>121369</v>
      </c>
      <c r="K755" s="190">
        <f t="shared" si="63"/>
        <v>38.28904571567381</v>
      </c>
      <c r="L755" s="177"/>
      <c r="M755" s="70"/>
      <c r="N755" s="70"/>
      <c r="O755" s="189"/>
      <c r="P755" s="177"/>
      <c r="Q755" s="70">
        <f t="shared" si="64"/>
        <v>316981</v>
      </c>
      <c r="R755" s="70">
        <f t="shared" si="65"/>
        <v>121369</v>
      </c>
      <c r="S755" s="188">
        <f t="shared" si="66"/>
        <v>38.28904571567381</v>
      </c>
    </row>
    <row r="756" spans="2:19" ht="12.75">
      <c r="B756" s="95">
        <f t="shared" si="67"/>
        <v>210</v>
      </c>
      <c r="C756" s="3"/>
      <c r="D756" s="3"/>
      <c r="E756" s="3"/>
      <c r="F756" s="92" t="s">
        <v>123</v>
      </c>
      <c r="G756" s="93">
        <v>620</v>
      </c>
      <c r="H756" s="3" t="s">
        <v>128</v>
      </c>
      <c r="I756" s="70">
        <f>122556-3250</f>
        <v>119306</v>
      </c>
      <c r="J756" s="70">
        <v>44787</v>
      </c>
      <c r="K756" s="190">
        <f t="shared" si="63"/>
        <v>37.53960404338424</v>
      </c>
      <c r="L756" s="177"/>
      <c r="M756" s="70"/>
      <c r="N756" s="70"/>
      <c r="O756" s="189"/>
      <c r="P756" s="177"/>
      <c r="Q756" s="70">
        <f t="shared" si="64"/>
        <v>119306</v>
      </c>
      <c r="R756" s="70">
        <f t="shared" si="65"/>
        <v>44787</v>
      </c>
      <c r="S756" s="188">
        <f t="shared" si="66"/>
        <v>37.53960404338424</v>
      </c>
    </row>
    <row r="757" spans="2:19" ht="12.75">
      <c r="B757" s="95">
        <f t="shared" si="67"/>
        <v>211</v>
      </c>
      <c r="C757" s="3"/>
      <c r="D757" s="3"/>
      <c r="E757" s="3"/>
      <c r="F757" s="92" t="s">
        <v>123</v>
      </c>
      <c r="G757" s="93">
        <v>630</v>
      </c>
      <c r="H757" s="3" t="s">
        <v>125</v>
      </c>
      <c r="I757" s="70">
        <f>SUM(I758:I762)</f>
        <v>71388</v>
      </c>
      <c r="J757" s="70">
        <f>SUM(J758:J762)</f>
        <v>22115</v>
      </c>
      <c r="K757" s="190">
        <f t="shared" si="63"/>
        <v>30.978595842438505</v>
      </c>
      <c r="L757" s="177"/>
      <c r="M757" s="70"/>
      <c r="N757" s="70"/>
      <c r="O757" s="189"/>
      <c r="P757" s="177"/>
      <c r="Q757" s="70">
        <f t="shared" si="64"/>
        <v>71388</v>
      </c>
      <c r="R757" s="70">
        <f t="shared" si="65"/>
        <v>22115</v>
      </c>
      <c r="S757" s="188">
        <f t="shared" si="66"/>
        <v>30.978595842438505</v>
      </c>
    </row>
    <row r="758" spans="2:19" ht="12.75">
      <c r="B758" s="95">
        <f t="shared" si="67"/>
        <v>212</v>
      </c>
      <c r="C758" s="4"/>
      <c r="D758" s="4"/>
      <c r="E758" s="4"/>
      <c r="F758" s="32" t="s">
        <v>123</v>
      </c>
      <c r="G758" s="41">
        <v>631</v>
      </c>
      <c r="H758" s="4" t="s">
        <v>131</v>
      </c>
      <c r="I758" s="71">
        <v>180</v>
      </c>
      <c r="J758" s="71">
        <v>0</v>
      </c>
      <c r="K758" s="190">
        <f t="shared" si="63"/>
        <v>0</v>
      </c>
      <c r="L758" s="178"/>
      <c r="M758" s="71"/>
      <c r="N758" s="71"/>
      <c r="O758" s="189"/>
      <c r="P758" s="178"/>
      <c r="Q758" s="71">
        <f t="shared" si="64"/>
        <v>180</v>
      </c>
      <c r="R758" s="71">
        <f t="shared" si="65"/>
        <v>0</v>
      </c>
      <c r="S758" s="188">
        <f t="shared" si="66"/>
        <v>0</v>
      </c>
    </row>
    <row r="759" spans="2:19" ht="12.75">
      <c r="B759" s="95">
        <f t="shared" si="67"/>
        <v>213</v>
      </c>
      <c r="C759" s="4"/>
      <c r="D759" s="4"/>
      <c r="E759" s="4"/>
      <c r="F759" s="32" t="s">
        <v>123</v>
      </c>
      <c r="G759" s="41">
        <v>632</v>
      </c>
      <c r="H759" s="4" t="s">
        <v>138</v>
      </c>
      <c r="I759" s="71">
        <f>20832-2000</f>
        <v>18832</v>
      </c>
      <c r="J759" s="71">
        <v>12324</v>
      </c>
      <c r="K759" s="190">
        <f t="shared" si="63"/>
        <v>65.44180118946474</v>
      </c>
      <c r="L759" s="178"/>
      <c r="M759" s="71"/>
      <c r="N759" s="71"/>
      <c r="O759" s="189"/>
      <c r="P759" s="178"/>
      <c r="Q759" s="71">
        <f t="shared" si="64"/>
        <v>18832</v>
      </c>
      <c r="R759" s="71">
        <f t="shared" si="65"/>
        <v>12324</v>
      </c>
      <c r="S759" s="188">
        <f t="shared" si="66"/>
        <v>65.44180118946474</v>
      </c>
    </row>
    <row r="760" spans="2:19" ht="12.75">
      <c r="B760" s="95">
        <f t="shared" si="67"/>
        <v>214</v>
      </c>
      <c r="C760" s="4"/>
      <c r="D760" s="4"/>
      <c r="E760" s="4"/>
      <c r="F760" s="32" t="s">
        <v>123</v>
      </c>
      <c r="G760" s="41">
        <v>633</v>
      </c>
      <c r="H760" s="4" t="s">
        <v>129</v>
      </c>
      <c r="I760" s="71">
        <f>18160-1000</f>
        <v>17160</v>
      </c>
      <c r="J760" s="71">
        <v>5831</v>
      </c>
      <c r="K760" s="190">
        <f t="shared" si="63"/>
        <v>33.98018648018648</v>
      </c>
      <c r="L760" s="178"/>
      <c r="M760" s="71"/>
      <c r="N760" s="71"/>
      <c r="O760" s="189"/>
      <c r="P760" s="178"/>
      <c r="Q760" s="71">
        <f t="shared" si="64"/>
        <v>17160</v>
      </c>
      <c r="R760" s="71">
        <f t="shared" si="65"/>
        <v>5831</v>
      </c>
      <c r="S760" s="188">
        <f t="shared" si="66"/>
        <v>33.98018648018648</v>
      </c>
    </row>
    <row r="761" spans="2:19" ht="12.75">
      <c r="B761" s="95">
        <f t="shared" si="67"/>
        <v>215</v>
      </c>
      <c r="C761" s="4"/>
      <c r="D761" s="4"/>
      <c r="E761" s="4"/>
      <c r="F761" s="32" t="s">
        <v>123</v>
      </c>
      <c r="G761" s="41">
        <v>635</v>
      </c>
      <c r="H761" s="4" t="s">
        <v>136</v>
      </c>
      <c r="I761" s="71">
        <f>11040-1439</f>
        <v>9601</v>
      </c>
      <c r="J761" s="164">
        <v>217</v>
      </c>
      <c r="K761" s="190">
        <f t="shared" si="63"/>
        <v>2.2601812311217584</v>
      </c>
      <c r="L761" s="178"/>
      <c r="M761" s="71"/>
      <c r="N761" s="71"/>
      <c r="O761" s="189"/>
      <c r="P761" s="178"/>
      <c r="Q761" s="71">
        <f t="shared" si="64"/>
        <v>9601</v>
      </c>
      <c r="R761" s="71">
        <f t="shared" si="65"/>
        <v>217</v>
      </c>
      <c r="S761" s="188">
        <f t="shared" si="66"/>
        <v>2.2601812311217584</v>
      </c>
    </row>
    <row r="762" spans="2:19" ht="12.75">
      <c r="B762" s="95">
        <f t="shared" si="67"/>
        <v>216</v>
      </c>
      <c r="C762" s="4"/>
      <c r="D762" s="4"/>
      <c r="E762" s="4"/>
      <c r="F762" s="32" t="s">
        <v>123</v>
      </c>
      <c r="G762" s="41">
        <v>637</v>
      </c>
      <c r="H762" s="4" t="s">
        <v>126</v>
      </c>
      <c r="I762" s="71">
        <f>26615-1000</f>
        <v>25615</v>
      </c>
      <c r="J762" s="164">
        <v>3743</v>
      </c>
      <c r="K762" s="190">
        <f t="shared" si="63"/>
        <v>14.61253171969549</v>
      </c>
      <c r="L762" s="178"/>
      <c r="M762" s="71"/>
      <c r="N762" s="71"/>
      <c r="O762" s="189"/>
      <c r="P762" s="178"/>
      <c r="Q762" s="71">
        <f t="shared" si="64"/>
        <v>25615</v>
      </c>
      <c r="R762" s="71">
        <f t="shared" si="65"/>
        <v>3743</v>
      </c>
      <c r="S762" s="188">
        <f t="shared" si="66"/>
        <v>14.61253171969549</v>
      </c>
    </row>
    <row r="763" spans="2:19" ht="12.75">
      <c r="B763" s="95">
        <f t="shared" si="67"/>
        <v>217</v>
      </c>
      <c r="C763" s="3"/>
      <c r="D763" s="3"/>
      <c r="E763" s="3"/>
      <c r="F763" s="92" t="s">
        <v>123</v>
      </c>
      <c r="G763" s="93">
        <v>640</v>
      </c>
      <c r="H763" s="3" t="s">
        <v>132</v>
      </c>
      <c r="I763" s="70">
        <f>1351-1351</f>
        <v>0</v>
      </c>
      <c r="J763" s="72">
        <v>340</v>
      </c>
      <c r="K763" s="190"/>
      <c r="L763" s="177"/>
      <c r="M763" s="70"/>
      <c r="N763" s="70"/>
      <c r="O763" s="189"/>
      <c r="P763" s="177"/>
      <c r="Q763" s="70">
        <f t="shared" si="64"/>
        <v>0</v>
      </c>
      <c r="R763" s="70">
        <f t="shared" si="65"/>
        <v>340</v>
      </c>
      <c r="S763" s="188"/>
    </row>
    <row r="764" spans="2:19" ht="12.75">
      <c r="B764" s="95">
        <f t="shared" si="67"/>
        <v>218</v>
      </c>
      <c r="C764" s="3"/>
      <c r="D764" s="3"/>
      <c r="E764" s="3"/>
      <c r="F764" s="92" t="s">
        <v>109</v>
      </c>
      <c r="G764" s="93">
        <v>610</v>
      </c>
      <c r="H764" s="3" t="s">
        <v>134</v>
      </c>
      <c r="I764" s="70">
        <f>597703-11329+50+3900</f>
        <v>590324</v>
      </c>
      <c r="J764" s="72">
        <v>235956</v>
      </c>
      <c r="K764" s="190">
        <f t="shared" si="63"/>
        <v>39.970592420433526</v>
      </c>
      <c r="L764" s="177"/>
      <c r="M764" s="70"/>
      <c r="N764" s="70"/>
      <c r="O764" s="189"/>
      <c r="P764" s="177"/>
      <c r="Q764" s="70">
        <f t="shared" si="64"/>
        <v>590324</v>
      </c>
      <c r="R764" s="70">
        <f t="shared" si="65"/>
        <v>235956</v>
      </c>
      <c r="S764" s="188">
        <f t="shared" si="66"/>
        <v>39.970592420433526</v>
      </c>
    </row>
    <row r="765" spans="2:19" ht="12.75">
      <c r="B765" s="95">
        <f t="shared" si="67"/>
        <v>219</v>
      </c>
      <c r="C765" s="3"/>
      <c r="D765" s="3"/>
      <c r="E765" s="3"/>
      <c r="F765" s="92" t="s">
        <v>109</v>
      </c>
      <c r="G765" s="93">
        <v>620</v>
      </c>
      <c r="H765" s="3" t="s">
        <v>128</v>
      </c>
      <c r="I765" s="70">
        <f>221450-3250+10+1365</f>
        <v>219575</v>
      </c>
      <c r="J765" s="72">
        <v>83747</v>
      </c>
      <c r="K765" s="190">
        <f t="shared" si="63"/>
        <v>38.1404986906524</v>
      </c>
      <c r="L765" s="177"/>
      <c r="M765" s="70"/>
      <c r="N765" s="70"/>
      <c r="O765" s="189"/>
      <c r="P765" s="177"/>
      <c r="Q765" s="70">
        <f t="shared" si="64"/>
        <v>219575</v>
      </c>
      <c r="R765" s="70">
        <f t="shared" si="65"/>
        <v>83747</v>
      </c>
      <c r="S765" s="188">
        <f t="shared" si="66"/>
        <v>38.1404986906524</v>
      </c>
    </row>
    <row r="766" spans="2:19" ht="12.75">
      <c r="B766" s="95">
        <f t="shared" si="67"/>
        <v>220</v>
      </c>
      <c r="C766" s="3"/>
      <c r="D766" s="3"/>
      <c r="E766" s="3"/>
      <c r="F766" s="92" t="s">
        <v>109</v>
      </c>
      <c r="G766" s="93">
        <v>630</v>
      </c>
      <c r="H766" s="3" t="s">
        <v>125</v>
      </c>
      <c r="I766" s="70">
        <f>SUM(I767:I773)</f>
        <v>112683</v>
      </c>
      <c r="J766" s="72">
        <f>SUM(J767:J773)</f>
        <v>46561</v>
      </c>
      <c r="K766" s="190">
        <f t="shared" si="63"/>
        <v>41.320341133977614</v>
      </c>
      <c r="L766" s="177"/>
      <c r="M766" s="70"/>
      <c r="N766" s="70"/>
      <c r="O766" s="189"/>
      <c r="P766" s="177"/>
      <c r="Q766" s="70">
        <f t="shared" si="64"/>
        <v>112683</v>
      </c>
      <c r="R766" s="70">
        <f t="shared" si="65"/>
        <v>46561</v>
      </c>
      <c r="S766" s="188">
        <f t="shared" si="66"/>
        <v>41.320341133977614</v>
      </c>
    </row>
    <row r="767" spans="2:19" ht="12.75">
      <c r="B767" s="95">
        <f t="shared" si="67"/>
        <v>221</v>
      </c>
      <c r="C767" s="4"/>
      <c r="D767" s="4"/>
      <c r="E767" s="4"/>
      <c r="F767" s="32" t="s">
        <v>109</v>
      </c>
      <c r="G767" s="41">
        <v>631</v>
      </c>
      <c r="H767" s="4" t="s">
        <v>131</v>
      </c>
      <c r="I767" s="71">
        <v>200</v>
      </c>
      <c r="J767" s="164">
        <v>12</v>
      </c>
      <c r="K767" s="190">
        <f t="shared" si="63"/>
        <v>6</v>
      </c>
      <c r="L767" s="178"/>
      <c r="M767" s="71"/>
      <c r="N767" s="71"/>
      <c r="O767" s="189"/>
      <c r="P767" s="178"/>
      <c r="Q767" s="71">
        <f t="shared" si="64"/>
        <v>200</v>
      </c>
      <c r="R767" s="71">
        <f t="shared" si="65"/>
        <v>12</v>
      </c>
      <c r="S767" s="188">
        <f t="shared" si="66"/>
        <v>6</v>
      </c>
    </row>
    <row r="768" spans="2:19" ht="12.75">
      <c r="B768" s="95">
        <f t="shared" si="67"/>
        <v>222</v>
      </c>
      <c r="C768" s="4"/>
      <c r="D768" s="4"/>
      <c r="E768" s="4"/>
      <c r="F768" s="32" t="s">
        <v>109</v>
      </c>
      <c r="G768" s="41">
        <v>632</v>
      </c>
      <c r="H768" s="4" t="s">
        <v>138</v>
      </c>
      <c r="I768" s="71">
        <f>25126-2000</f>
        <v>23126</v>
      </c>
      <c r="J768" s="164">
        <v>15853</v>
      </c>
      <c r="K768" s="190">
        <f t="shared" si="63"/>
        <v>68.5505491654415</v>
      </c>
      <c r="L768" s="178"/>
      <c r="M768" s="71"/>
      <c r="N768" s="71"/>
      <c r="O768" s="189"/>
      <c r="P768" s="178"/>
      <c r="Q768" s="71">
        <f t="shared" si="64"/>
        <v>23126</v>
      </c>
      <c r="R768" s="71">
        <f t="shared" si="65"/>
        <v>15853</v>
      </c>
      <c r="S768" s="188">
        <f t="shared" si="66"/>
        <v>68.5505491654415</v>
      </c>
    </row>
    <row r="769" spans="2:19" ht="12.75">
      <c r="B769" s="95">
        <f t="shared" si="67"/>
        <v>223</v>
      </c>
      <c r="C769" s="4"/>
      <c r="D769" s="4"/>
      <c r="E769" s="4"/>
      <c r="F769" s="32" t="s">
        <v>109</v>
      </c>
      <c r="G769" s="41">
        <v>633</v>
      </c>
      <c r="H769" s="4" t="s">
        <v>129</v>
      </c>
      <c r="I769" s="71">
        <f>30900-10112-1000</f>
        <v>19788</v>
      </c>
      <c r="J769" s="164">
        <v>6620</v>
      </c>
      <c r="K769" s="190">
        <f t="shared" si="63"/>
        <v>33.45461896098645</v>
      </c>
      <c r="L769" s="178"/>
      <c r="M769" s="71"/>
      <c r="N769" s="71"/>
      <c r="O769" s="189"/>
      <c r="P769" s="178"/>
      <c r="Q769" s="71">
        <f t="shared" si="64"/>
        <v>19788</v>
      </c>
      <c r="R769" s="71">
        <f t="shared" si="65"/>
        <v>6620</v>
      </c>
      <c r="S769" s="188">
        <f t="shared" si="66"/>
        <v>33.45461896098645</v>
      </c>
    </row>
    <row r="770" spans="2:19" ht="12.75">
      <c r="B770" s="95">
        <f t="shared" si="67"/>
        <v>224</v>
      </c>
      <c r="C770" s="4"/>
      <c r="D770" s="4"/>
      <c r="E770" s="4"/>
      <c r="F770" s="32" t="s">
        <v>109</v>
      </c>
      <c r="G770" s="41">
        <v>634</v>
      </c>
      <c r="H770" s="4" t="s">
        <v>135</v>
      </c>
      <c r="I770" s="71">
        <v>2465</v>
      </c>
      <c r="J770" s="164">
        <v>1109</v>
      </c>
      <c r="K770" s="190">
        <f t="shared" si="63"/>
        <v>44.98985801217039</v>
      </c>
      <c r="L770" s="178"/>
      <c r="M770" s="71"/>
      <c r="N770" s="71"/>
      <c r="O770" s="189"/>
      <c r="P770" s="178"/>
      <c r="Q770" s="71">
        <f t="shared" si="64"/>
        <v>2465</v>
      </c>
      <c r="R770" s="71">
        <f t="shared" si="65"/>
        <v>1109</v>
      </c>
      <c r="S770" s="188">
        <f t="shared" si="66"/>
        <v>44.98985801217039</v>
      </c>
    </row>
    <row r="771" spans="2:19" ht="12.75">
      <c r="B771" s="95">
        <f t="shared" si="67"/>
        <v>225</v>
      </c>
      <c r="C771" s="4"/>
      <c r="D771" s="4"/>
      <c r="E771" s="4"/>
      <c r="F771" s="32" t="s">
        <v>109</v>
      </c>
      <c r="G771" s="41">
        <v>635</v>
      </c>
      <c r="H771" s="4" t="s">
        <v>136</v>
      </c>
      <c r="I771" s="71">
        <f>19024-1420</f>
        <v>17604</v>
      </c>
      <c r="J771" s="164">
        <v>2821</v>
      </c>
      <c r="K771" s="190">
        <f t="shared" si="63"/>
        <v>16.02476709838673</v>
      </c>
      <c r="L771" s="178"/>
      <c r="M771" s="71"/>
      <c r="N771" s="71"/>
      <c r="O771" s="189"/>
      <c r="P771" s="178"/>
      <c r="Q771" s="71">
        <f t="shared" si="64"/>
        <v>17604</v>
      </c>
      <c r="R771" s="71">
        <f t="shared" si="65"/>
        <v>2821</v>
      </c>
      <c r="S771" s="188">
        <f t="shared" si="66"/>
        <v>16.02476709838673</v>
      </c>
    </row>
    <row r="772" spans="2:19" ht="12.75">
      <c r="B772" s="95">
        <f t="shared" si="67"/>
        <v>226</v>
      </c>
      <c r="C772" s="4"/>
      <c r="D772" s="4"/>
      <c r="E772" s="4"/>
      <c r="F772" s="32" t="s">
        <v>109</v>
      </c>
      <c r="G772" s="41">
        <v>637</v>
      </c>
      <c r="H772" s="4" t="s">
        <v>126</v>
      </c>
      <c r="I772" s="71">
        <f>35100-1000</f>
        <v>34100</v>
      </c>
      <c r="J772" s="164">
        <v>18950</v>
      </c>
      <c r="K772" s="190">
        <f t="shared" si="63"/>
        <v>55.57184750733137</v>
      </c>
      <c r="L772" s="178"/>
      <c r="M772" s="71"/>
      <c r="N772" s="71"/>
      <c r="O772" s="189"/>
      <c r="P772" s="178"/>
      <c r="Q772" s="71">
        <f t="shared" si="64"/>
        <v>34100</v>
      </c>
      <c r="R772" s="71">
        <f t="shared" si="65"/>
        <v>18950</v>
      </c>
      <c r="S772" s="188">
        <f t="shared" si="66"/>
        <v>55.57184750733137</v>
      </c>
    </row>
    <row r="773" spans="2:19" ht="12.75">
      <c r="B773" s="95">
        <f t="shared" si="67"/>
        <v>227</v>
      </c>
      <c r="C773" s="4"/>
      <c r="D773" s="4"/>
      <c r="E773" s="4"/>
      <c r="F773" s="32" t="s">
        <v>109</v>
      </c>
      <c r="G773" s="41">
        <v>637</v>
      </c>
      <c r="H773" s="4" t="s">
        <v>295</v>
      </c>
      <c r="I773" s="71">
        <v>15400</v>
      </c>
      <c r="J773" s="164">
        <v>1196</v>
      </c>
      <c r="K773" s="190">
        <f t="shared" si="63"/>
        <v>7.766233766233767</v>
      </c>
      <c r="L773" s="178"/>
      <c r="M773" s="71"/>
      <c r="N773" s="71"/>
      <c r="O773" s="189"/>
      <c r="P773" s="178"/>
      <c r="Q773" s="71">
        <f t="shared" si="64"/>
        <v>15400</v>
      </c>
      <c r="R773" s="71">
        <f t="shared" si="65"/>
        <v>1196</v>
      </c>
      <c r="S773" s="188">
        <f t="shared" si="66"/>
        <v>7.766233766233767</v>
      </c>
    </row>
    <row r="774" spans="2:19" ht="12.75">
      <c r="B774" s="95">
        <f t="shared" si="67"/>
        <v>228</v>
      </c>
      <c r="C774" s="4"/>
      <c r="D774" s="4"/>
      <c r="E774" s="4"/>
      <c r="F774" s="32"/>
      <c r="G774" s="93">
        <v>630</v>
      </c>
      <c r="H774" s="3" t="s">
        <v>545</v>
      </c>
      <c r="I774" s="70">
        <v>1174</v>
      </c>
      <c r="J774" s="72">
        <v>432</v>
      </c>
      <c r="K774" s="190">
        <f t="shared" si="63"/>
        <v>36.79727427597956</v>
      </c>
      <c r="L774" s="177"/>
      <c r="M774" s="70"/>
      <c r="N774" s="70"/>
      <c r="O774" s="189"/>
      <c r="P774" s="177"/>
      <c r="Q774" s="70">
        <f t="shared" si="64"/>
        <v>1174</v>
      </c>
      <c r="R774" s="70">
        <f t="shared" si="65"/>
        <v>432</v>
      </c>
      <c r="S774" s="188">
        <f t="shared" si="66"/>
        <v>36.79727427597956</v>
      </c>
    </row>
    <row r="775" spans="2:19" ht="12.75">
      <c r="B775" s="95">
        <f t="shared" si="67"/>
        <v>229</v>
      </c>
      <c r="C775" s="3"/>
      <c r="D775" s="3"/>
      <c r="E775" s="3"/>
      <c r="F775" s="92" t="s">
        <v>109</v>
      </c>
      <c r="G775" s="93">
        <v>640</v>
      </c>
      <c r="H775" s="3" t="s">
        <v>132</v>
      </c>
      <c r="I775" s="70">
        <f>1559-1559</f>
        <v>0</v>
      </c>
      <c r="J775" s="72">
        <v>170</v>
      </c>
      <c r="K775" s="190"/>
      <c r="L775" s="177"/>
      <c r="M775" s="70"/>
      <c r="N775" s="70"/>
      <c r="O775" s="189"/>
      <c r="P775" s="177"/>
      <c r="Q775" s="70">
        <f t="shared" si="64"/>
        <v>0</v>
      </c>
      <c r="R775" s="70">
        <f t="shared" si="65"/>
        <v>170</v>
      </c>
      <c r="S775" s="188" t="e">
        <f t="shared" si="66"/>
        <v>#DIV/0!</v>
      </c>
    </row>
    <row r="776" spans="2:19" ht="12.75">
      <c r="B776" s="95">
        <f t="shared" si="67"/>
        <v>230</v>
      </c>
      <c r="C776" s="3"/>
      <c r="D776" s="3"/>
      <c r="E776" s="3"/>
      <c r="F776" s="92" t="s">
        <v>109</v>
      </c>
      <c r="G776" s="93">
        <v>710</v>
      </c>
      <c r="H776" s="3" t="s">
        <v>180</v>
      </c>
      <c r="I776" s="70"/>
      <c r="J776" s="72"/>
      <c r="K776" s="190"/>
      <c r="L776" s="177"/>
      <c r="M776" s="70">
        <f>M777</f>
        <v>430000</v>
      </c>
      <c r="N776" s="70">
        <f>N777</f>
        <v>0</v>
      </c>
      <c r="O776" s="189">
        <f>N776/M776*100</f>
        <v>0</v>
      </c>
      <c r="P776" s="177"/>
      <c r="Q776" s="70">
        <f t="shared" si="64"/>
        <v>430000</v>
      </c>
      <c r="R776" s="70">
        <f t="shared" si="65"/>
        <v>0</v>
      </c>
      <c r="S776" s="188">
        <f t="shared" si="66"/>
        <v>0</v>
      </c>
    </row>
    <row r="777" spans="2:19" ht="12.75">
      <c r="B777" s="95">
        <f t="shared" si="67"/>
        <v>231</v>
      </c>
      <c r="C777" s="4"/>
      <c r="D777" s="4"/>
      <c r="E777" s="4"/>
      <c r="F777" s="32" t="s">
        <v>109</v>
      </c>
      <c r="G777" s="41">
        <v>717</v>
      </c>
      <c r="H777" s="4" t="s">
        <v>190</v>
      </c>
      <c r="I777" s="71"/>
      <c r="J777" s="71"/>
      <c r="K777" s="190"/>
      <c r="L777" s="178"/>
      <c r="M777" s="71">
        <f>M778</f>
        <v>430000</v>
      </c>
      <c r="N777" s="71">
        <f>N778</f>
        <v>0</v>
      </c>
      <c r="O777" s="189">
        <f>N777/M777*100</f>
        <v>0</v>
      </c>
      <c r="P777" s="178"/>
      <c r="Q777" s="71">
        <f t="shared" si="64"/>
        <v>430000</v>
      </c>
      <c r="R777" s="71">
        <f t="shared" si="65"/>
        <v>0</v>
      </c>
      <c r="S777" s="188">
        <f t="shared" si="66"/>
        <v>0</v>
      </c>
    </row>
    <row r="778" spans="2:19" ht="12.75">
      <c r="B778" s="95">
        <f t="shared" si="67"/>
        <v>232</v>
      </c>
      <c r="C778" s="5"/>
      <c r="D778" s="5"/>
      <c r="E778" s="5"/>
      <c r="F778" s="36"/>
      <c r="G778" s="42"/>
      <c r="H778" s="5" t="s">
        <v>380</v>
      </c>
      <c r="I778" s="75"/>
      <c r="J778" s="75"/>
      <c r="K778" s="190"/>
      <c r="L778" s="99"/>
      <c r="M778" s="75">
        <v>430000</v>
      </c>
      <c r="N778" s="75">
        <v>0</v>
      </c>
      <c r="O778" s="189">
        <f>N778/M778*100</f>
        <v>0</v>
      </c>
      <c r="P778" s="99"/>
      <c r="Q778" s="75">
        <f t="shared" si="64"/>
        <v>430000</v>
      </c>
      <c r="R778" s="75">
        <f t="shared" si="65"/>
        <v>0</v>
      </c>
      <c r="S778" s="188">
        <f t="shared" si="66"/>
        <v>0</v>
      </c>
    </row>
    <row r="779" spans="2:19" ht="15">
      <c r="B779" s="95">
        <f t="shared" si="67"/>
        <v>233</v>
      </c>
      <c r="C779" s="12"/>
      <c r="D779" s="12"/>
      <c r="E779" s="12">
        <v>8</v>
      </c>
      <c r="F779" s="35"/>
      <c r="G779" s="43"/>
      <c r="H779" s="12" t="s">
        <v>8</v>
      </c>
      <c r="I779" s="82">
        <f>I780+I781+I782+I789+I790+I791+I792+I800+I801</f>
        <v>1958665</v>
      </c>
      <c r="J779" s="82">
        <f>J780+J781+J782+J789+J790+J791+J792+J800+J801+J802</f>
        <v>754573</v>
      </c>
      <c r="K779" s="190">
        <f t="shared" si="63"/>
        <v>38.52486259773877</v>
      </c>
      <c r="L779" s="182"/>
      <c r="M779" s="82">
        <f>M803</f>
        <v>70000</v>
      </c>
      <c r="N779" s="82">
        <f>N803</f>
        <v>66527</v>
      </c>
      <c r="O779" s="189">
        <f>N779/M779*100</f>
        <v>95.03857142857143</v>
      </c>
      <c r="P779" s="182"/>
      <c r="Q779" s="82">
        <f t="shared" si="64"/>
        <v>2028665</v>
      </c>
      <c r="R779" s="82">
        <f t="shared" si="65"/>
        <v>821100</v>
      </c>
      <c r="S779" s="188">
        <f t="shared" si="66"/>
        <v>40.47489358765494</v>
      </c>
    </row>
    <row r="780" spans="2:19" ht="12.75">
      <c r="B780" s="95">
        <f t="shared" si="67"/>
        <v>234</v>
      </c>
      <c r="C780" s="3"/>
      <c r="D780" s="3"/>
      <c r="E780" s="3"/>
      <c r="F780" s="92" t="s">
        <v>123</v>
      </c>
      <c r="G780" s="93">
        <v>610</v>
      </c>
      <c r="H780" s="3" t="s">
        <v>134</v>
      </c>
      <c r="I780" s="70">
        <v>458740</v>
      </c>
      <c r="J780" s="70">
        <v>166217</v>
      </c>
      <c r="K780" s="190">
        <f t="shared" si="63"/>
        <v>36.233378384269955</v>
      </c>
      <c r="L780" s="177"/>
      <c r="M780" s="70"/>
      <c r="N780" s="70"/>
      <c r="O780" s="189"/>
      <c r="P780" s="177"/>
      <c r="Q780" s="70">
        <f t="shared" si="64"/>
        <v>458740</v>
      </c>
      <c r="R780" s="70">
        <f t="shared" si="65"/>
        <v>166217</v>
      </c>
      <c r="S780" s="188">
        <f t="shared" si="66"/>
        <v>36.233378384269955</v>
      </c>
    </row>
    <row r="781" spans="2:19" ht="12.75">
      <c r="B781" s="95">
        <f t="shared" si="67"/>
        <v>235</v>
      </c>
      <c r="C781" s="3"/>
      <c r="D781" s="3"/>
      <c r="E781" s="3"/>
      <c r="F781" s="92" t="s">
        <v>123</v>
      </c>
      <c r="G781" s="93">
        <v>620</v>
      </c>
      <c r="H781" s="3" t="s">
        <v>128</v>
      </c>
      <c r="I781" s="70">
        <v>160121</v>
      </c>
      <c r="J781" s="70">
        <v>60088</v>
      </c>
      <c r="K781" s="190">
        <f t="shared" si="63"/>
        <v>37.526620493251976</v>
      </c>
      <c r="L781" s="177"/>
      <c r="M781" s="70"/>
      <c r="N781" s="70"/>
      <c r="O781" s="189"/>
      <c r="P781" s="177"/>
      <c r="Q781" s="70">
        <f t="shared" si="64"/>
        <v>160121</v>
      </c>
      <c r="R781" s="70">
        <f t="shared" si="65"/>
        <v>60088</v>
      </c>
      <c r="S781" s="188">
        <f t="shared" si="66"/>
        <v>37.526620493251976</v>
      </c>
    </row>
    <row r="782" spans="2:19" ht="12.75">
      <c r="B782" s="95">
        <f t="shared" si="67"/>
        <v>236</v>
      </c>
      <c r="C782" s="3"/>
      <c r="D782" s="3"/>
      <c r="E782" s="3"/>
      <c r="F782" s="92" t="s">
        <v>123</v>
      </c>
      <c r="G782" s="93">
        <v>630</v>
      </c>
      <c r="H782" s="3" t="s">
        <v>125</v>
      </c>
      <c r="I782" s="70">
        <f>SUM(I783:I788)</f>
        <v>74910</v>
      </c>
      <c r="J782" s="70">
        <f>SUM(J783:J788)</f>
        <v>33954</v>
      </c>
      <c r="K782" s="190">
        <f t="shared" si="63"/>
        <v>45.32639167000401</v>
      </c>
      <c r="L782" s="177"/>
      <c r="M782" s="70"/>
      <c r="N782" s="70"/>
      <c r="O782" s="189"/>
      <c r="P782" s="177"/>
      <c r="Q782" s="70">
        <f t="shared" si="64"/>
        <v>74910</v>
      </c>
      <c r="R782" s="70">
        <f t="shared" si="65"/>
        <v>33954</v>
      </c>
      <c r="S782" s="188">
        <f t="shared" si="66"/>
        <v>45.32639167000401</v>
      </c>
    </row>
    <row r="783" spans="2:19" ht="12.75">
      <c r="B783" s="95">
        <f t="shared" si="67"/>
        <v>237</v>
      </c>
      <c r="C783" s="4"/>
      <c r="D783" s="4"/>
      <c r="E783" s="4"/>
      <c r="F783" s="32" t="s">
        <v>123</v>
      </c>
      <c r="G783" s="41">
        <v>631</v>
      </c>
      <c r="H783" s="4" t="s">
        <v>131</v>
      </c>
      <c r="I783" s="71">
        <v>30</v>
      </c>
      <c r="J783" s="71">
        <v>0</v>
      </c>
      <c r="K783" s="190">
        <f t="shared" si="63"/>
        <v>0</v>
      </c>
      <c r="L783" s="178"/>
      <c r="M783" s="71"/>
      <c r="N783" s="71"/>
      <c r="O783" s="189"/>
      <c r="P783" s="178"/>
      <c r="Q783" s="71">
        <f t="shared" si="64"/>
        <v>30</v>
      </c>
      <c r="R783" s="71">
        <f t="shared" si="65"/>
        <v>0</v>
      </c>
      <c r="S783" s="188">
        <f t="shared" si="66"/>
        <v>0</v>
      </c>
    </row>
    <row r="784" spans="2:19" ht="12.75">
      <c r="B784" s="95">
        <f t="shared" si="67"/>
        <v>238</v>
      </c>
      <c r="C784" s="4"/>
      <c r="D784" s="4"/>
      <c r="E784" s="4"/>
      <c r="F784" s="32" t="s">
        <v>123</v>
      </c>
      <c r="G784" s="41">
        <v>632</v>
      </c>
      <c r="H784" s="4" t="s">
        <v>138</v>
      </c>
      <c r="I784" s="71">
        <f>40200-9400</f>
        <v>30800</v>
      </c>
      <c r="J784" s="71">
        <v>19961</v>
      </c>
      <c r="K784" s="190">
        <f t="shared" si="63"/>
        <v>64.80844155844156</v>
      </c>
      <c r="L784" s="178"/>
      <c r="M784" s="71"/>
      <c r="N784" s="71"/>
      <c r="O784" s="189"/>
      <c r="P784" s="178"/>
      <c r="Q784" s="71">
        <f t="shared" si="64"/>
        <v>30800</v>
      </c>
      <c r="R784" s="71">
        <f t="shared" si="65"/>
        <v>19961</v>
      </c>
      <c r="S784" s="188">
        <f t="shared" si="66"/>
        <v>64.80844155844156</v>
      </c>
    </row>
    <row r="785" spans="2:19" ht="12.75">
      <c r="B785" s="95">
        <f t="shared" si="67"/>
        <v>239</v>
      </c>
      <c r="C785" s="4"/>
      <c r="D785" s="4"/>
      <c r="E785" s="4"/>
      <c r="F785" s="32" t="s">
        <v>123</v>
      </c>
      <c r="G785" s="41">
        <v>633</v>
      </c>
      <c r="H785" s="4" t="s">
        <v>129</v>
      </c>
      <c r="I785" s="71">
        <v>10960</v>
      </c>
      <c r="J785" s="71">
        <v>5128</v>
      </c>
      <c r="K785" s="190">
        <f t="shared" si="63"/>
        <v>46.78832116788321</v>
      </c>
      <c r="L785" s="178"/>
      <c r="M785" s="71"/>
      <c r="N785" s="71"/>
      <c r="O785" s="189"/>
      <c r="P785" s="178"/>
      <c r="Q785" s="71">
        <f t="shared" si="64"/>
        <v>10960</v>
      </c>
      <c r="R785" s="71">
        <f t="shared" si="65"/>
        <v>5128</v>
      </c>
      <c r="S785" s="188">
        <f t="shared" si="66"/>
        <v>46.78832116788321</v>
      </c>
    </row>
    <row r="786" spans="2:19" ht="12.75">
      <c r="B786" s="95">
        <f t="shared" si="67"/>
        <v>240</v>
      </c>
      <c r="C786" s="4"/>
      <c r="D786" s="4"/>
      <c r="E786" s="4"/>
      <c r="F786" s="32" t="s">
        <v>123</v>
      </c>
      <c r="G786" s="41">
        <v>635</v>
      </c>
      <c r="H786" s="4" t="s">
        <v>136</v>
      </c>
      <c r="I786" s="71">
        <v>4450</v>
      </c>
      <c r="J786" s="71">
        <v>223</v>
      </c>
      <c r="K786" s="190">
        <f t="shared" si="63"/>
        <v>5.01123595505618</v>
      </c>
      <c r="L786" s="178"/>
      <c r="M786" s="71"/>
      <c r="N786" s="71"/>
      <c r="O786" s="189"/>
      <c r="P786" s="178"/>
      <c r="Q786" s="71">
        <f t="shared" si="64"/>
        <v>4450</v>
      </c>
      <c r="R786" s="71">
        <f t="shared" si="65"/>
        <v>223</v>
      </c>
      <c r="S786" s="188">
        <f t="shared" si="66"/>
        <v>5.01123595505618</v>
      </c>
    </row>
    <row r="787" spans="2:19" ht="12.75">
      <c r="B787" s="95">
        <f t="shared" si="67"/>
        <v>241</v>
      </c>
      <c r="C787" s="4"/>
      <c r="D787" s="4"/>
      <c r="E787" s="4"/>
      <c r="F787" s="32" t="s">
        <v>123</v>
      </c>
      <c r="G787" s="41">
        <v>636</v>
      </c>
      <c r="H787" s="4" t="s">
        <v>130</v>
      </c>
      <c r="I787" s="71">
        <v>1400</v>
      </c>
      <c r="J787" s="71">
        <v>777</v>
      </c>
      <c r="K787" s="190">
        <f t="shared" si="63"/>
        <v>55.50000000000001</v>
      </c>
      <c r="L787" s="178"/>
      <c r="M787" s="71"/>
      <c r="N787" s="71"/>
      <c r="O787" s="189"/>
      <c r="P787" s="178"/>
      <c r="Q787" s="71">
        <f t="shared" si="64"/>
        <v>1400</v>
      </c>
      <c r="R787" s="71">
        <f t="shared" si="65"/>
        <v>777</v>
      </c>
      <c r="S787" s="188">
        <f t="shared" si="66"/>
        <v>55.50000000000001</v>
      </c>
    </row>
    <row r="788" spans="2:19" ht="12.75">
      <c r="B788" s="95">
        <f t="shared" si="67"/>
        <v>242</v>
      </c>
      <c r="C788" s="4"/>
      <c r="D788" s="4"/>
      <c r="E788" s="4"/>
      <c r="F788" s="32" t="s">
        <v>123</v>
      </c>
      <c r="G788" s="41">
        <v>637</v>
      </c>
      <c r="H788" s="4" t="s">
        <v>126</v>
      </c>
      <c r="I788" s="71">
        <v>27270</v>
      </c>
      <c r="J788" s="71">
        <v>7865</v>
      </c>
      <c r="K788" s="190">
        <f t="shared" si="63"/>
        <v>28.841217455078844</v>
      </c>
      <c r="L788" s="178"/>
      <c r="M788" s="71"/>
      <c r="N788" s="71"/>
      <c r="O788" s="189"/>
      <c r="P788" s="178"/>
      <c r="Q788" s="71">
        <f t="shared" si="64"/>
        <v>27270</v>
      </c>
      <c r="R788" s="71">
        <f t="shared" si="65"/>
        <v>7865</v>
      </c>
      <c r="S788" s="188">
        <f t="shared" si="66"/>
        <v>28.841217455078844</v>
      </c>
    </row>
    <row r="789" spans="2:19" ht="12.75">
      <c r="B789" s="95">
        <f t="shared" si="67"/>
        <v>243</v>
      </c>
      <c r="C789" s="3"/>
      <c r="D789" s="3"/>
      <c r="E789" s="3"/>
      <c r="F789" s="92" t="s">
        <v>123</v>
      </c>
      <c r="G789" s="93">
        <v>640</v>
      </c>
      <c r="H789" s="3" t="s">
        <v>132</v>
      </c>
      <c r="I789" s="70">
        <f>5900-400</f>
        <v>5500</v>
      </c>
      <c r="J789" s="70">
        <v>826</v>
      </c>
      <c r="K789" s="190">
        <f t="shared" si="63"/>
        <v>15.01818181818182</v>
      </c>
      <c r="L789" s="177"/>
      <c r="M789" s="70"/>
      <c r="N789" s="70"/>
      <c r="O789" s="189"/>
      <c r="P789" s="177"/>
      <c r="Q789" s="70">
        <f t="shared" si="64"/>
        <v>5500</v>
      </c>
      <c r="R789" s="70">
        <f t="shared" si="65"/>
        <v>826</v>
      </c>
      <c r="S789" s="188">
        <f t="shared" si="66"/>
        <v>15.01818181818182</v>
      </c>
    </row>
    <row r="790" spans="2:19" ht="12.75">
      <c r="B790" s="95">
        <f t="shared" si="67"/>
        <v>244</v>
      </c>
      <c r="C790" s="3"/>
      <c r="D790" s="3"/>
      <c r="E790" s="3"/>
      <c r="F790" s="92" t="s">
        <v>109</v>
      </c>
      <c r="G790" s="93">
        <v>610</v>
      </c>
      <c r="H790" s="3" t="s">
        <v>134</v>
      </c>
      <c r="I790" s="70">
        <f>830880-53190+1950</f>
        <v>779640</v>
      </c>
      <c r="J790" s="70">
        <v>303043</v>
      </c>
      <c r="K790" s="190">
        <f t="shared" si="63"/>
        <v>38.86960648504438</v>
      </c>
      <c r="L790" s="177"/>
      <c r="M790" s="70"/>
      <c r="N790" s="70"/>
      <c r="O790" s="189"/>
      <c r="P790" s="177"/>
      <c r="Q790" s="70">
        <f t="shared" si="64"/>
        <v>779640</v>
      </c>
      <c r="R790" s="70">
        <f t="shared" si="65"/>
        <v>303043</v>
      </c>
      <c r="S790" s="188">
        <f t="shared" si="66"/>
        <v>38.86960648504438</v>
      </c>
    </row>
    <row r="791" spans="2:19" ht="12.75">
      <c r="B791" s="95">
        <f t="shared" si="67"/>
        <v>245</v>
      </c>
      <c r="C791" s="3"/>
      <c r="D791" s="3"/>
      <c r="E791" s="3"/>
      <c r="F791" s="92" t="s">
        <v>109</v>
      </c>
      <c r="G791" s="93">
        <v>620</v>
      </c>
      <c r="H791" s="3" t="s">
        <v>128</v>
      </c>
      <c r="I791" s="70">
        <f>293142-20529+681</f>
        <v>273294</v>
      </c>
      <c r="J791" s="70">
        <v>109579</v>
      </c>
      <c r="K791" s="190">
        <f t="shared" si="63"/>
        <v>40.09564791030905</v>
      </c>
      <c r="L791" s="177"/>
      <c r="M791" s="70"/>
      <c r="N791" s="70"/>
      <c r="O791" s="189"/>
      <c r="P791" s="177"/>
      <c r="Q791" s="70">
        <f t="shared" si="64"/>
        <v>273294</v>
      </c>
      <c r="R791" s="70">
        <f t="shared" si="65"/>
        <v>109579</v>
      </c>
      <c r="S791" s="188">
        <f t="shared" si="66"/>
        <v>40.09564791030905</v>
      </c>
    </row>
    <row r="792" spans="2:19" ht="12.75">
      <c r="B792" s="95">
        <f t="shared" si="67"/>
        <v>246</v>
      </c>
      <c r="C792" s="3"/>
      <c r="D792" s="3"/>
      <c r="E792" s="3"/>
      <c r="F792" s="92" t="s">
        <v>109</v>
      </c>
      <c r="G792" s="93">
        <v>630</v>
      </c>
      <c r="H792" s="3" t="s">
        <v>125</v>
      </c>
      <c r="I792" s="70">
        <f>SUM(I793:I799)</f>
        <v>196518</v>
      </c>
      <c r="J792" s="70">
        <f>SUM(J793:J799)</f>
        <v>75974</v>
      </c>
      <c r="K792" s="190">
        <f t="shared" si="63"/>
        <v>38.6600718509246</v>
      </c>
      <c r="L792" s="177"/>
      <c r="M792" s="70"/>
      <c r="N792" s="70"/>
      <c r="O792" s="189"/>
      <c r="P792" s="177"/>
      <c r="Q792" s="70">
        <f t="shared" si="64"/>
        <v>196518</v>
      </c>
      <c r="R792" s="70">
        <f t="shared" si="65"/>
        <v>75974</v>
      </c>
      <c r="S792" s="188">
        <f t="shared" si="66"/>
        <v>38.6600718509246</v>
      </c>
    </row>
    <row r="793" spans="2:19" ht="12.75">
      <c r="B793" s="95">
        <f t="shared" si="67"/>
        <v>247</v>
      </c>
      <c r="C793" s="4"/>
      <c r="D793" s="4"/>
      <c r="E793" s="4"/>
      <c r="F793" s="32" t="s">
        <v>109</v>
      </c>
      <c r="G793" s="41">
        <v>631</v>
      </c>
      <c r="H793" s="4" t="s">
        <v>131</v>
      </c>
      <c r="I793" s="71">
        <v>30</v>
      </c>
      <c r="J793" s="71">
        <v>0</v>
      </c>
      <c r="K793" s="190">
        <f t="shared" si="63"/>
        <v>0</v>
      </c>
      <c r="L793" s="178"/>
      <c r="M793" s="71"/>
      <c r="N793" s="71"/>
      <c r="O793" s="189"/>
      <c r="P793" s="178"/>
      <c r="Q793" s="71">
        <f t="shared" si="64"/>
        <v>30</v>
      </c>
      <c r="R793" s="71">
        <f t="shared" si="65"/>
        <v>0</v>
      </c>
      <c r="S793" s="188">
        <f t="shared" si="66"/>
        <v>0</v>
      </c>
    </row>
    <row r="794" spans="2:19" ht="12.75">
      <c r="B794" s="95">
        <f t="shared" si="67"/>
        <v>248</v>
      </c>
      <c r="C794" s="4"/>
      <c r="D794" s="4"/>
      <c r="E794" s="4"/>
      <c r="F794" s="32" t="s">
        <v>109</v>
      </c>
      <c r="G794" s="41">
        <v>632</v>
      </c>
      <c r="H794" s="4" t="s">
        <v>138</v>
      </c>
      <c r="I794" s="71">
        <v>80460</v>
      </c>
      <c r="J794" s="71">
        <v>33505</v>
      </c>
      <c r="K794" s="190">
        <f t="shared" si="63"/>
        <v>41.64180959482973</v>
      </c>
      <c r="L794" s="178"/>
      <c r="M794" s="71"/>
      <c r="N794" s="71"/>
      <c r="O794" s="189"/>
      <c r="P794" s="178"/>
      <c r="Q794" s="71">
        <f t="shared" si="64"/>
        <v>80460</v>
      </c>
      <c r="R794" s="71">
        <f t="shared" si="65"/>
        <v>33505</v>
      </c>
      <c r="S794" s="188">
        <f t="shared" si="66"/>
        <v>41.64180959482973</v>
      </c>
    </row>
    <row r="795" spans="2:19" ht="12.75">
      <c r="B795" s="95">
        <f t="shared" si="67"/>
        <v>249</v>
      </c>
      <c r="C795" s="4"/>
      <c r="D795" s="4"/>
      <c r="E795" s="4"/>
      <c r="F795" s="32" t="s">
        <v>109</v>
      </c>
      <c r="G795" s="41">
        <v>633</v>
      </c>
      <c r="H795" s="4" t="s">
        <v>129</v>
      </c>
      <c r="I795" s="71">
        <f>28734-14016</f>
        <v>14718</v>
      </c>
      <c r="J795" s="71">
        <v>9428</v>
      </c>
      <c r="K795" s="190">
        <f t="shared" si="63"/>
        <v>64.05761652398424</v>
      </c>
      <c r="L795" s="178"/>
      <c r="M795" s="71"/>
      <c r="N795" s="71"/>
      <c r="O795" s="189"/>
      <c r="P795" s="178"/>
      <c r="Q795" s="71">
        <f t="shared" si="64"/>
        <v>14718</v>
      </c>
      <c r="R795" s="71">
        <f t="shared" si="65"/>
        <v>9428</v>
      </c>
      <c r="S795" s="188">
        <f t="shared" si="66"/>
        <v>64.05761652398424</v>
      </c>
    </row>
    <row r="796" spans="2:19" ht="12.75">
      <c r="B796" s="95">
        <f t="shared" si="67"/>
        <v>250</v>
      </c>
      <c r="C796" s="4"/>
      <c r="D796" s="4"/>
      <c r="E796" s="4"/>
      <c r="F796" s="32" t="s">
        <v>109</v>
      </c>
      <c r="G796" s="41">
        <v>635</v>
      </c>
      <c r="H796" s="4" t="s">
        <v>136</v>
      </c>
      <c r="I796" s="71">
        <v>22720</v>
      </c>
      <c r="J796" s="71">
        <v>7234</v>
      </c>
      <c r="K796" s="190">
        <f t="shared" si="63"/>
        <v>31.839788732394364</v>
      </c>
      <c r="L796" s="178"/>
      <c r="M796" s="71"/>
      <c r="N796" s="71"/>
      <c r="O796" s="189"/>
      <c r="P796" s="178"/>
      <c r="Q796" s="71">
        <f t="shared" si="64"/>
        <v>22720</v>
      </c>
      <c r="R796" s="71">
        <f t="shared" si="65"/>
        <v>7234</v>
      </c>
      <c r="S796" s="188">
        <f t="shared" si="66"/>
        <v>31.839788732394364</v>
      </c>
    </row>
    <row r="797" spans="2:19" ht="12.75">
      <c r="B797" s="95">
        <f t="shared" si="67"/>
        <v>251</v>
      </c>
      <c r="C797" s="4"/>
      <c r="D797" s="4"/>
      <c r="E797" s="4"/>
      <c r="F797" s="32" t="s">
        <v>109</v>
      </c>
      <c r="G797" s="41">
        <v>636</v>
      </c>
      <c r="H797" s="4" t="s">
        <v>130</v>
      </c>
      <c r="I797" s="71">
        <v>3000</v>
      </c>
      <c r="J797" s="71">
        <v>795</v>
      </c>
      <c r="K797" s="190">
        <f t="shared" si="63"/>
        <v>26.5</v>
      </c>
      <c r="L797" s="178"/>
      <c r="M797" s="71"/>
      <c r="N797" s="71"/>
      <c r="O797" s="189"/>
      <c r="P797" s="178"/>
      <c r="Q797" s="71">
        <f t="shared" si="64"/>
        <v>3000</v>
      </c>
      <c r="R797" s="71">
        <f t="shared" si="65"/>
        <v>795</v>
      </c>
      <c r="S797" s="188">
        <f t="shared" si="66"/>
        <v>26.5</v>
      </c>
    </row>
    <row r="798" spans="2:19" ht="12.75">
      <c r="B798" s="95">
        <f t="shared" si="67"/>
        <v>252</v>
      </c>
      <c r="C798" s="4"/>
      <c r="D798" s="4"/>
      <c r="E798" s="4"/>
      <c r="F798" s="32" t="s">
        <v>109</v>
      </c>
      <c r="G798" s="41">
        <v>637</v>
      </c>
      <c r="H798" s="4" t="s">
        <v>126</v>
      </c>
      <c r="I798" s="71">
        <v>55590</v>
      </c>
      <c r="J798" s="71">
        <v>25012</v>
      </c>
      <c r="K798" s="190">
        <f t="shared" si="63"/>
        <v>44.99370390357978</v>
      </c>
      <c r="L798" s="178"/>
      <c r="M798" s="71"/>
      <c r="N798" s="71"/>
      <c r="O798" s="189"/>
      <c r="P798" s="178"/>
      <c r="Q798" s="71">
        <f t="shared" si="64"/>
        <v>55590</v>
      </c>
      <c r="R798" s="71">
        <f t="shared" si="65"/>
        <v>25012</v>
      </c>
      <c r="S798" s="188">
        <f t="shared" si="66"/>
        <v>44.99370390357978</v>
      </c>
    </row>
    <row r="799" spans="2:19" ht="12.75">
      <c r="B799" s="95">
        <f t="shared" si="67"/>
        <v>253</v>
      </c>
      <c r="C799" s="4"/>
      <c r="D799" s="4"/>
      <c r="E799" s="4"/>
      <c r="F799" s="32" t="s">
        <v>109</v>
      </c>
      <c r="G799" s="41">
        <v>637</v>
      </c>
      <c r="H799" s="4" t="s">
        <v>295</v>
      </c>
      <c r="I799" s="71">
        <v>20000</v>
      </c>
      <c r="J799" s="71">
        <v>0</v>
      </c>
      <c r="K799" s="190">
        <f t="shared" si="63"/>
        <v>0</v>
      </c>
      <c r="L799" s="178"/>
      <c r="M799" s="71"/>
      <c r="N799" s="71"/>
      <c r="O799" s="189"/>
      <c r="P799" s="178"/>
      <c r="Q799" s="71">
        <f t="shared" si="64"/>
        <v>20000</v>
      </c>
      <c r="R799" s="71">
        <f t="shared" si="65"/>
        <v>0</v>
      </c>
      <c r="S799" s="188">
        <f t="shared" si="66"/>
        <v>0</v>
      </c>
    </row>
    <row r="800" spans="2:19" ht="12.75">
      <c r="B800" s="95">
        <f t="shared" si="67"/>
        <v>254</v>
      </c>
      <c r="C800" s="3"/>
      <c r="D800" s="3"/>
      <c r="E800" s="3"/>
      <c r="F800" s="92" t="s">
        <v>109</v>
      </c>
      <c r="G800" s="93">
        <v>640</v>
      </c>
      <c r="H800" s="3" t="s">
        <v>132</v>
      </c>
      <c r="I800" s="70">
        <v>5300</v>
      </c>
      <c r="J800" s="70">
        <v>1161</v>
      </c>
      <c r="K800" s="190">
        <f t="shared" si="63"/>
        <v>21.90566037735849</v>
      </c>
      <c r="L800" s="177"/>
      <c r="M800" s="70"/>
      <c r="N800" s="70"/>
      <c r="O800" s="189"/>
      <c r="P800" s="177"/>
      <c r="Q800" s="70">
        <f t="shared" si="64"/>
        <v>5300</v>
      </c>
      <c r="R800" s="70">
        <f t="shared" si="65"/>
        <v>1161</v>
      </c>
      <c r="S800" s="188">
        <f t="shared" si="66"/>
        <v>21.90566037735849</v>
      </c>
    </row>
    <row r="801" spans="2:19" ht="12.75">
      <c r="B801" s="95">
        <f t="shared" si="67"/>
        <v>255</v>
      </c>
      <c r="C801" s="3"/>
      <c r="D801" s="3"/>
      <c r="E801" s="3"/>
      <c r="F801" s="92"/>
      <c r="G801" s="93">
        <v>630</v>
      </c>
      <c r="H801" s="3" t="s">
        <v>545</v>
      </c>
      <c r="I801" s="70">
        <v>4642</v>
      </c>
      <c r="J801" s="70">
        <v>3715</v>
      </c>
      <c r="K801" s="190">
        <f t="shared" si="63"/>
        <v>80.03015941404567</v>
      </c>
      <c r="L801" s="177"/>
      <c r="M801" s="70"/>
      <c r="N801" s="70"/>
      <c r="O801" s="189"/>
      <c r="P801" s="177"/>
      <c r="Q801" s="70">
        <f t="shared" si="64"/>
        <v>4642</v>
      </c>
      <c r="R801" s="70">
        <f t="shared" si="65"/>
        <v>3715</v>
      </c>
      <c r="S801" s="188">
        <f t="shared" si="66"/>
        <v>80.03015941404567</v>
      </c>
    </row>
    <row r="802" spans="2:19" ht="12.75">
      <c r="B802" s="95">
        <f t="shared" si="67"/>
        <v>256</v>
      </c>
      <c r="C802" s="3"/>
      <c r="D802" s="3"/>
      <c r="E802" s="3"/>
      <c r="F802" s="92" t="s">
        <v>74</v>
      </c>
      <c r="G802" s="93">
        <v>642</v>
      </c>
      <c r="H802" s="5" t="s">
        <v>587</v>
      </c>
      <c r="I802" s="70">
        <v>0</v>
      </c>
      <c r="J802" s="72">
        <v>16</v>
      </c>
      <c r="K802" s="190">
        <v>0</v>
      </c>
      <c r="L802" s="177"/>
      <c r="M802" s="70"/>
      <c r="N802" s="70"/>
      <c r="O802" s="189"/>
      <c r="P802" s="177"/>
      <c r="Q802" s="70">
        <f>M802+I802</f>
        <v>0</v>
      </c>
      <c r="R802" s="70">
        <f>N802+J802</f>
        <v>16</v>
      </c>
      <c r="S802" s="188">
        <v>0</v>
      </c>
    </row>
    <row r="803" spans="2:19" ht="12.75">
      <c r="B803" s="95">
        <f t="shared" si="67"/>
        <v>257</v>
      </c>
      <c r="C803" s="3"/>
      <c r="D803" s="3"/>
      <c r="E803" s="3"/>
      <c r="F803" s="92" t="s">
        <v>109</v>
      </c>
      <c r="G803" s="93">
        <v>710</v>
      </c>
      <c r="H803" s="3" t="s">
        <v>180</v>
      </c>
      <c r="I803" s="70"/>
      <c r="J803" s="70"/>
      <c r="K803" s="190"/>
      <c r="L803" s="177"/>
      <c r="M803" s="70">
        <f>M804</f>
        <v>70000</v>
      </c>
      <c r="N803" s="70">
        <f>N804</f>
        <v>66527</v>
      </c>
      <c r="O803" s="189">
        <f>N803/M803*100</f>
        <v>95.03857142857143</v>
      </c>
      <c r="P803" s="177"/>
      <c r="Q803" s="70">
        <f t="shared" si="64"/>
        <v>70000</v>
      </c>
      <c r="R803" s="70">
        <f t="shared" si="65"/>
        <v>66527</v>
      </c>
      <c r="S803" s="188">
        <f t="shared" si="66"/>
        <v>95.03857142857143</v>
      </c>
    </row>
    <row r="804" spans="2:19" ht="12.75">
      <c r="B804" s="95">
        <f t="shared" si="67"/>
        <v>258</v>
      </c>
      <c r="C804" s="3"/>
      <c r="D804" s="3"/>
      <c r="E804" s="3"/>
      <c r="F804" s="32" t="s">
        <v>109</v>
      </c>
      <c r="G804" s="62">
        <v>717</v>
      </c>
      <c r="H804" s="4" t="s">
        <v>190</v>
      </c>
      <c r="I804" s="70"/>
      <c r="J804" s="70"/>
      <c r="K804" s="190"/>
      <c r="L804" s="177"/>
      <c r="M804" s="71">
        <f>M805</f>
        <v>70000</v>
      </c>
      <c r="N804" s="71">
        <f>N805</f>
        <v>66527</v>
      </c>
      <c r="O804" s="189">
        <f>N804/M804*100</f>
        <v>95.03857142857143</v>
      </c>
      <c r="P804" s="178"/>
      <c r="Q804" s="70">
        <f t="shared" si="64"/>
        <v>70000</v>
      </c>
      <c r="R804" s="70">
        <f t="shared" si="65"/>
        <v>66527</v>
      </c>
      <c r="S804" s="188">
        <f t="shared" si="66"/>
        <v>95.03857142857143</v>
      </c>
    </row>
    <row r="805" spans="2:19" ht="12.75">
      <c r="B805" s="95">
        <f t="shared" si="67"/>
        <v>259</v>
      </c>
      <c r="C805" s="3"/>
      <c r="D805" s="3"/>
      <c r="E805" s="3"/>
      <c r="F805" s="92"/>
      <c r="G805" s="93"/>
      <c r="H805" s="5" t="s">
        <v>389</v>
      </c>
      <c r="I805" s="70"/>
      <c r="J805" s="70"/>
      <c r="K805" s="190"/>
      <c r="L805" s="177"/>
      <c r="M805" s="75">
        <v>70000</v>
      </c>
      <c r="N805" s="75">
        <v>66527</v>
      </c>
      <c r="O805" s="189">
        <f>N805/M805*100</f>
        <v>95.03857142857143</v>
      </c>
      <c r="P805" s="99"/>
      <c r="Q805" s="70">
        <f t="shared" si="64"/>
        <v>70000</v>
      </c>
      <c r="R805" s="70">
        <f t="shared" si="65"/>
        <v>66527</v>
      </c>
      <c r="S805" s="188">
        <f t="shared" si="66"/>
        <v>95.03857142857143</v>
      </c>
    </row>
    <row r="806" spans="2:19" ht="15">
      <c r="B806" s="95">
        <f t="shared" si="67"/>
        <v>260</v>
      </c>
      <c r="C806" s="12"/>
      <c r="D806" s="12"/>
      <c r="E806" s="12">
        <v>9</v>
      </c>
      <c r="F806" s="35"/>
      <c r="G806" s="43"/>
      <c r="H806" s="12" t="s">
        <v>6</v>
      </c>
      <c r="I806" s="82">
        <f>I807+I808+I809+I817+I818+I819+I820+I828+I829</f>
        <v>1091966</v>
      </c>
      <c r="J806" s="82">
        <f>J807+J808+J809+J817+J818+J819+J820+J828+J829</f>
        <v>423402</v>
      </c>
      <c r="K806" s="190">
        <f aca="true" t="shared" si="68" ref="K806:K869">J806/I806*100</f>
        <v>38.7742841810093</v>
      </c>
      <c r="L806" s="182"/>
      <c r="M806" s="82">
        <f>M830</f>
        <v>135970</v>
      </c>
      <c r="N806" s="82">
        <f>N830</f>
        <v>14858</v>
      </c>
      <c r="O806" s="189">
        <f>N806/M806*100</f>
        <v>10.927410458189305</v>
      </c>
      <c r="P806" s="182"/>
      <c r="Q806" s="82">
        <f aca="true" t="shared" si="69" ref="Q806:Q869">M806+I806</f>
        <v>1227936</v>
      </c>
      <c r="R806" s="82">
        <f aca="true" t="shared" si="70" ref="R806:R869">N806+J806</f>
        <v>438260</v>
      </c>
      <c r="S806" s="188">
        <f aca="true" t="shared" si="71" ref="S806:S869">R806/Q806*100</f>
        <v>35.690785187501625</v>
      </c>
    </row>
    <row r="807" spans="2:19" ht="12.75">
      <c r="B807" s="95">
        <f t="shared" si="67"/>
        <v>261</v>
      </c>
      <c r="C807" s="3"/>
      <c r="D807" s="3"/>
      <c r="E807" s="3"/>
      <c r="F807" s="92" t="s">
        <v>123</v>
      </c>
      <c r="G807" s="93">
        <v>610</v>
      </c>
      <c r="H807" s="3" t="s">
        <v>134</v>
      </c>
      <c r="I807" s="70">
        <f>250000+26000</f>
        <v>276000</v>
      </c>
      <c r="J807" s="70">
        <v>120064</v>
      </c>
      <c r="K807" s="190">
        <f t="shared" si="68"/>
        <v>43.50144927536232</v>
      </c>
      <c r="L807" s="177"/>
      <c r="M807" s="70"/>
      <c r="N807" s="70"/>
      <c r="O807" s="189"/>
      <c r="P807" s="177"/>
      <c r="Q807" s="70">
        <f t="shared" si="69"/>
        <v>276000</v>
      </c>
      <c r="R807" s="70">
        <f t="shared" si="70"/>
        <v>120064</v>
      </c>
      <c r="S807" s="188">
        <f t="shared" si="71"/>
        <v>43.50144927536232</v>
      </c>
    </row>
    <row r="808" spans="2:19" ht="12.75">
      <c r="B808" s="95">
        <f aca="true" t="shared" si="72" ref="B808:B817">B807+1</f>
        <v>262</v>
      </c>
      <c r="C808" s="3"/>
      <c r="D808" s="3"/>
      <c r="E808" s="3"/>
      <c r="F808" s="92" t="s">
        <v>123</v>
      </c>
      <c r="G808" s="93">
        <v>620</v>
      </c>
      <c r="H808" s="3" t="s">
        <v>128</v>
      </c>
      <c r="I808" s="70">
        <f>91409+11271</f>
        <v>102680</v>
      </c>
      <c r="J808" s="70">
        <v>43038</v>
      </c>
      <c r="K808" s="190">
        <f t="shared" si="68"/>
        <v>41.914686404363074</v>
      </c>
      <c r="L808" s="177"/>
      <c r="M808" s="70"/>
      <c r="N808" s="70"/>
      <c r="O808" s="189"/>
      <c r="P808" s="177"/>
      <c r="Q808" s="70">
        <f t="shared" si="69"/>
        <v>102680</v>
      </c>
      <c r="R808" s="70">
        <f t="shared" si="70"/>
        <v>43038</v>
      </c>
      <c r="S808" s="188">
        <f t="shared" si="71"/>
        <v>41.914686404363074</v>
      </c>
    </row>
    <row r="809" spans="2:19" ht="12.75">
      <c r="B809" s="95">
        <f t="shared" si="72"/>
        <v>263</v>
      </c>
      <c r="C809" s="3"/>
      <c r="D809" s="3"/>
      <c r="E809" s="3"/>
      <c r="F809" s="92" t="s">
        <v>123</v>
      </c>
      <c r="G809" s="93">
        <v>630</v>
      </c>
      <c r="H809" s="3" t="s">
        <v>125</v>
      </c>
      <c r="I809" s="70">
        <f>SUM(I810:I816)</f>
        <v>84485</v>
      </c>
      <c r="J809" s="70">
        <f>SUM(J810:J816)</f>
        <v>31559</v>
      </c>
      <c r="K809" s="190">
        <f t="shared" si="68"/>
        <v>37.354559981061726</v>
      </c>
      <c r="L809" s="177"/>
      <c r="M809" s="70"/>
      <c r="N809" s="70"/>
      <c r="O809" s="189"/>
      <c r="P809" s="177"/>
      <c r="Q809" s="70">
        <f t="shared" si="69"/>
        <v>84485</v>
      </c>
      <c r="R809" s="70">
        <f t="shared" si="70"/>
        <v>31559</v>
      </c>
      <c r="S809" s="188">
        <f t="shared" si="71"/>
        <v>37.354559981061726</v>
      </c>
    </row>
    <row r="810" spans="2:19" ht="12.75">
      <c r="B810" s="95">
        <f t="shared" si="72"/>
        <v>264</v>
      </c>
      <c r="C810" s="4"/>
      <c r="D810" s="4"/>
      <c r="E810" s="4"/>
      <c r="F810" s="32" t="s">
        <v>123</v>
      </c>
      <c r="G810" s="41">
        <v>631</v>
      </c>
      <c r="H810" s="4" t="s">
        <v>131</v>
      </c>
      <c r="I810" s="71">
        <v>300</v>
      </c>
      <c r="J810" s="71">
        <v>33</v>
      </c>
      <c r="K810" s="190">
        <f t="shared" si="68"/>
        <v>11</v>
      </c>
      <c r="L810" s="178"/>
      <c r="M810" s="71"/>
      <c r="N810" s="71"/>
      <c r="O810" s="189"/>
      <c r="P810" s="178"/>
      <c r="Q810" s="71">
        <f t="shared" si="69"/>
        <v>300</v>
      </c>
      <c r="R810" s="71">
        <f t="shared" si="70"/>
        <v>33</v>
      </c>
      <c r="S810" s="188">
        <f t="shared" si="71"/>
        <v>11</v>
      </c>
    </row>
    <row r="811" spans="2:19" ht="12.75">
      <c r="B811" s="95">
        <f t="shared" si="72"/>
        <v>265</v>
      </c>
      <c r="C811" s="4"/>
      <c r="D811" s="4"/>
      <c r="E811" s="4"/>
      <c r="F811" s="32" t="s">
        <v>123</v>
      </c>
      <c r="G811" s="41">
        <v>632</v>
      </c>
      <c r="H811" s="4" t="s">
        <v>138</v>
      </c>
      <c r="I811" s="71">
        <v>20620</v>
      </c>
      <c r="J811" s="71">
        <v>8362</v>
      </c>
      <c r="K811" s="190">
        <f t="shared" si="68"/>
        <v>40.55286129970902</v>
      </c>
      <c r="L811" s="178"/>
      <c r="M811" s="71"/>
      <c r="N811" s="71"/>
      <c r="O811" s="189"/>
      <c r="P811" s="178"/>
      <c r="Q811" s="71">
        <f t="shared" si="69"/>
        <v>20620</v>
      </c>
      <c r="R811" s="71">
        <f t="shared" si="70"/>
        <v>8362</v>
      </c>
      <c r="S811" s="188">
        <f t="shared" si="71"/>
        <v>40.55286129970902</v>
      </c>
    </row>
    <row r="812" spans="2:19" ht="12.75">
      <c r="B812" s="95">
        <f t="shared" si="72"/>
        <v>266</v>
      </c>
      <c r="C812" s="4"/>
      <c r="D812" s="4"/>
      <c r="E812" s="4"/>
      <c r="F812" s="32" t="s">
        <v>123</v>
      </c>
      <c r="G812" s="41">
        <v>633</v>
      </c>
      <c r="H812" s="4" t="s">
        <v>129</v>
      </c>
      <c r="I812" s="71">
        <f>5100+5000</f>
        <v>10100</v>
      </c>
      <c r="J812" s="71">
        <v>9172</v>
      </c>
      <c r="K812" s="190">
        <f t="shared" si="68"/>
        <v>90.81188118811882</v>
      </c>
      <c r="L812" s="178"/>
      <c r="M812" s="71"/>
      <c r="N812" s="71"/>
      <c r="O812" s="189"/>
      <c r="P812" s="178"/>
      <c r="Q812" s="71">
        <f t="shared" si="69"/>
        <v>10100</v>
      </c>
      <c r="R812" s="71">
        <f t="shared" si="70"/>
        <v>9172</v>
      </c>
      <c r="S812" s="188">
        <f t="shared" si="71"/>
        <v>90.81188118811882</v>
      </c>
    </row>
    <row r="813" spans="2:19" ht="12.75">
      <c r="B813" s="95">
        <f t="shared" si="72"/>
        <v>267</v>
      </c>
      <c r="C813" s="4"/>
      <c r="D813" s="4"/>
      <c r="E813" s="4"/>
      <c r="F813" s="32" t="s">
        <v>123</v>
      </c>
      <c r="G813" s="41">
        <v>634</v>
      </c>
      <c r="H813" s="4" t="s">
        <v>135</v>
      </c>
      <c r="I813" s="71">
        <v>3000</v>
      </c>
      <c r="J813" s="71">
        <v>1200</v>
      </c>
      <c r="K813" s="190">
        <f t="shared" si="68"/>
        <v>40</v>
      </c>
      <c r="L813" s="178"/>
      <c r="M813" s="71"/>
      <c r="N813" s="71"/>
      <c r="O813" s="189"/>
      <c r="P813" s="178"/>
      <c r="Q813" s="71">
        <f t="shared" si="69"/>
        <v>3000</v>
      </c>
      <c r="R813" s="71">
        <f t="shared" si="70"/>
        <v>1200</v>
      </c>
      <c r="S813" s="188">
        <f t="shared" si="71"/>
        <v>40</v>
      </c>
    </row>
    <row r="814" spans="2:19" ht="12.75">
      <c r="B814" s="95">
        <f t="shared" si="72"/>
        <v>268</v>
      </c>
      <c r="C814" s="4"/>
      <c r="D814" s="4"/>
      <c r="E814" s="4"/>
      <c r="F814" s="32" t="s">
        <v>123</v>
      </c>
      <c r="G814" s="41">
        <v>635</v>
      </c>
      <c r="H814" s="4" t="s">
        <v>136</v>
      </c>
      <c r="I814" s="71">
        <f>1200+20000</f>
        <v>21200</v>
      </c>
      <c r="J814" s="71">
        <v>2183</v>
      </c>
      <c r="K814" s="190">
        <f t="shared" si="68"/>
        <v>10.297169811320755</v>
      </c>
      <c r="L814" s="178"/>
      <c r="M814" s="71"/>
      <c r="N814" s="71"/>
      <c r="O814" s="189"/>
      <c r="P814" s="178"/>
      <c r="Q814" s="71">
        <f t="shared" si="69"/>
        <v>21200</v>
      </c>
      <c r="R814" s="71">
        <f t="shared" si="70"/>
        <v>2183</v>
      </c>
      <c r="S814" s="188">
        <f t="shared" si="71"/>
        <v>10.297169811320755</v>
      </c>
    </row>
    <row r="815" spans="2:19" ht="12.75">
      <c r="B815" s="95">
        <f t="shared" si="72"/>
        <v>269</v>
      </c>
      <c r="C815" s="4"/>
      <c r="D815" s="4"/>
      <c r="E815" s="4"/>
      <c r="F815" s="32" t="s">
        <v>123</v>
      </c>
      <c r="G815" s="41">
        <v>636</v>
      </c>
      <c r="H815" s="4" t="s">
        <v>130</v>
      </c>
      <c r="I815" s="71">
        <v>140</v>
      </c>
      <c r="J815" s="71">
        <v>104</v>
      </c>
      <c r="K815" s="190">
        <f t="shared" si="68"/>
        <v>74.28571428571429</v>
      </c>
      <c r="L815" s="178"/>
      <c r="M815" s="71"/>
      <c r="N815" s="71"/>
      <c r="O815" s="189"/>
      <c r="P815" s="178"/>
      <c r="Q815" s="71">
        <f t="shared" si="69"/>
        <v>140</v>
      </c>
      <c r="R815" s="71">
        <f t="shared" si="70"/>
        <v>104</v>
      </c>
      <c r="S815" s="188">
        <f t="shared" si="71"/>
        <v>74.28571428571429</v>
      </c>
    </row>
    <row r="816" spans="2:19" ht="12.75">
      <c r="B816" s="95">
        <f t="shared" si="72"/>
        <v>270</v>
      </c>
      <c r="C816" s="4"/>
      <c r="D816" s="4"/>
      <c r="E816" s="4"/>
      <c r="F816" s="32" t="s">
        <v>123</v>
      </c>
      <c r="G816" s="41">
        <v>637</v>
      </c>
      <c r="H816" s="4" t="s">
        <v>126</v>
      </c>
      <c r="I816" s="71">
        <f>22125+7000</f>
        <v>29125</v>
      </c>
      <c r="J816" s="71">
        <v>10505</v>
      </c>
      <c r="K816" s="190">
        <f t="shared" si="68"/>
        <v>36.06866952789699</v>
      </c>
      <c r="L816" s="178"/>
      <c r="M816" s="71"/>
      <c r="N816" s="71"/>
      <c r="O816" s="189"/>
      <c r="P816" s="178"/>
      <c r="Q816" s="71">
        <f t="shared" si="69"/>
        <v>29125</v>
      </c>
      <c r="R816" s="71">
        <f t="shared" si="70"/>
        <v>10505</v>
      </c>
      <c r="S816" s="188">
        <f t="shared" si="71"/>
        <v>36.06866952789699</v>
      </c>
    </row>
    <row r="817" spans="2:19" ht="12.75">
      <c r="B817" s="95">
        <f t="shared" si="72"/>
        <v>271</v>
      </c>
      <c r="C817" s="3"/>
      <c r="D817" s="3"/>
      <c r="E817" s="3"/>
      <c r="F817" s="92" t="s">
        <v>123</v>
      </c>
      <c r="G817" s="93">
        <v>640</v>
      </c>
      <c r="H817" s="3" t="s">
        <v>132</v>
      </c>
      <c r="I817" s="70">
        <v>4500</v>
      </c>
      <c r="J817" s="70">
        <v>232</v>
      </c>
      <c r="K817" s="190">
        <f t="shared" si="68"/>
        <v>5.155555555555556</v>
      </c>
      <c r="L817" s="177"/>
      <c r="M817" s="70"/>
      <c r="N817" s="70"/>
      <c r="O817" s="189"/>
      <c r="P817" s="177"/>
      <c r="Q817" s="70">
        <f t="shared" si="69"/>
        <v>4500</v>
      </c>
      <c r="R817" s="70">
        <f t="shared" si="70"/>
        <v>232</v>
      </c>
      <c r="S817" s="188">
        <f t="shared" si="71"/>
        <v>5.155555555555556</v>
      </c>
    </row>
    <row r="818" spans="2:19" ht="12.75">
      <c r="B818" s="95">
        <f aca="true" t="shared" si="73" ref="B818:B871">B817+1</f>
        <v>272</v>
      </c>
      <c r="C818" s="3"/>
      <c r="D818" s="3"/>
      <c r="E818" s="3"/>
      <c r="F818" s="92" t="s">
        <v>109</v>
      </c>
      <c r="G818" s="93">
        <v>610</v>
      </c>
      <c r="H818" s="3" t="s">
        <v>134</v>
      </c>
      <c r="I818" s="70">
        <f>327200+26000+50+650</f>
        <v>353900</v>
      </c>
      <c r="J818" s="70">
        <v>141841</v>
      </c>
      <c r="K818" s="190">
        <f t="shared" si="68"/>
        <v>40.07940096072337</v>
      </c>
      <c r="L818" s="177"/>
      <c r="M818" s="70"/>
      <c r="N818" s="70"/>
      <c r="O818" s="189"/>
      <c r="P818" s="177"/>
      <c r="Q818" s="70">
        <f t="shared" si="69"/>
        <v>353900</v>
      </c>
      <c r="R818" s="70">
        <f t="shared" si="70"/>
        <v>141841</v>
      </c>
      <c r="S818" s="188">
        <f t="shared" si="71"/>
        <v>40.07940096072337</v>
      </c>
    </row>
    <row r="819" spans="2:19" ht="12.75">
      <c r="B819" s="95">
        <f t="shared" si="73"/>
        <v>273</v>
      </c>
      <c r="C819" s="3"/>
      <c r="D819" s="3"/>
      <c r="E819" s="3"/>
      <c r="F819" s="92" t="s">
        <v>109</v>
      </c>
      <c r="G819" s="93">
        <v>620</v>
      </c>
      <c r="H819" s="3" t="s">
        <v>128</v>
      </c>
      <c r="I819" s="70">
        <f>118523+11271+10+227</f>
        <v>130031</v>
      </c>
      <c r="J819" s="70">
        <v>50406</v>
      </c>
      <c r="K819" s="190">
        <f t="shared" si="68"/>
        <v>38.76460228714691</v>
      </c>
      <c r="L819" s="177"/>
      <c r="M819" s="70"/>
      <c r="N819" s="70"/>
      <c r="O819" s="189"/>
      <c r="P819" s="177"/>
      <c r="Q819" s="70">
        <f t="shared" si="69"/>
        <v>130031</v>
      </c>
      <c r="R819" s="70">
        <f t="shared" si="70"/>
        <v>50406</v>
      </c>
      <c r="S819" s="188">
        <f t="shared" si="71"/>
        <v>38.76460228714691</v>
      </c>
    </row>
    <row r="820" spans="2:19" ht="12.75">
      <c r="B820" s="95">
        <f t="shared" si="73"/>
        <v>274</v>
      </c>
      <c r="C820" s="3"/>
      <c r="D820" s="3"/>
      <c r="E820" s="3"/>
      <c r="F820" s="92" t="s">
        <v>109</v>
      </c>
      <c r="G820" s="93">
        <v>630</v>
      </c>
      <c r="H820" s="3" t="s">
        <v>125</v>
      </c>
      <c r="I820" s="70">
        <f>SUM(I821:I827)</f>
        <v>131735</v>
      </c>
      <c r="J820" s="70">
        <f>SUM(J821:J827)</f>
        <v>32919</v>
      </c>
      <c r="K820" s="190">
        <f t="shared" si="68"/>
        <v>24.988803279310737</v>
      </c>
      <c r="L820" s="177"/>
      <c r="M820" s="70"/>
      <c r="N820" s="70"/>
      <c r="O820" s="189"/>
      <c r="P820" s="177"/>
      <c r="Q820" s="70">
        <f t="shared" si="69"/>
        <v>131735</v>
      </c>
      <c r="R820" s="70">
        <f t="shared" si="70"/>
        <v>32919</v>
      </c>
      <c r="S820" s="188">
        <f t="shared" si="71"/>
        <v>24.988803279310737</v>
      </c>
    </row>
    <row r="821" spans="2:19" ht="12.75">
      <c r="B821" s="95">
        <f t="shared" si="73"/>
        <v>275</v>
      </c>
      <c r="C821" s="4"/>
      <c r="D821" s="4"/>
      <c r="E821" s="4"/>
      <c r="F821" s="32" t="s">
        <v>109</v>
      </c>
      <c r="G821" s="41">
        <v>631</v>
      </c>
      <c r="H821" s="4" t="s">
        <v>131</v>
      </c>
      <c r="I821" s="71">
        <v>300</v>
      </c>
      <c r="J821" s="71">
        <v>33</v>
      </c>
      <c r="K821" s="190">
        <f t="shared" si="68"/>
        <v>11</v>
      </c>
      <c r="L821" s="178"/>
      <c r="M821" s="71"/>
      <c r="N821" s="71"/>
      <c r="O821" s="189"/>
      <c r="P821" s="178"/>
      <c r="Q821" s="71">
        <f t="shared" si="69"/>
        <v>300</v>
      </c>
      <c r="R821" s="71">
        <f t="shared" si="70"/>
        <v>33</v>
      </c>
      <c r="S821" s="188">
        <f t="shared" si="71"/>
        <v>11</v>
      </c>
    </row>
    <row r="822" spans="2:19" ht="12.75">
      <c r="B822" s="95">
        <f t="shared" si="73"/>
        <v>276</v>
      </c>
      <c r="C822" s="4"/>
      <c r="D822" s="4"/>
      <c r="E822" s="4"/>
      <c r="F822" s="32" t="s">
        <v>109</v>
      </c>
      <c r="G822" s="41">
        <v>632</v>
      </c>
      <c r="H822" s="4" t="s">
        <v>138</v>
      </c>
      <c r="I822" s="71">
        <v>23620</v>
      </c>
      <c r="J822" s="71">
        <v>8362</v>
      </c>
      <c r="K822" s="190">
        <f t="shared" si="68"/>
        <v>35.402201524132096</v>
      </c>
      <c r="L822" s="178"/>
      <c r="M822" s="71"/>
      <c r="N822" s="71"/>
      <c r="O822" s="189"/>
      <c r="P822" s="178"/>
      <c r="Q822" s="71">
        <f t="shared" si="69"/>
        <v>23620</v>
      </c>
      <c r="R822" s="71">
        <f t="shared" si="70"/>
        <v>8362</v>
      </c>
      <c r="S822" s="188">
        <f t="shared" si="71"/>
        <v>35.402201524132096</v>
      </c>
    </row>
    <row r="823" spans="2:19" ht="12.75">
      <c r="B823" s="95">
        <f t="shared" si="73"/>
        <v>277</v>
      </c>
      <c r="C823" s="4"/>
      <c r="D823" s="4"/>
      <c r="E823" s="4"/>
      <c r="F823" s="32" t="s">
        <v>109</v>
      </c>
      <c r="G823" s="41">
        <v>633</v>
      </c>
      <c r="H823" s="4" t="s">
        <v>129</v>
      </c>
      <c r="I823" s="71">
        <f>11564-6464+6200</f>
        <v>11300</v>
      </c>
      <c r="J823" s="71">
        <v>5692</v>
      </c>
      <c r="K823" s="190">
        <f t="shared" si="68"/>
        <v>50.3716814159292</v>
      </c>
      <c r="L823" s="178"/>
      <c r="M823" s="71"/>
      <c r="N823" s="71"/>
      <c r="O823" s="189"/>
      <c r="P823" s="178"/>
      <c r="Q823" s="71">
        <f t="shared" si="69"/>
        <v>11300</v>
      </c>
      <c r="R823" s="71">
        <f t="shared" si="70"/>
        <v>5692</v>
      </c>
      <c r="S823" s="188">
        <f t="shared" si="71"/>
        <v>50.3716814159292</v>
      </c>
    </row>
    <row r="824" spans="2:19" ht="12.75">
      <c r="B824" s="95">
        <f t="shared" si="73"/>
        <v>278</v>
      </c>
      <c r="C824" s="4"/>
      <c r="D824" s="4"/>
      <c r="E824" s="4"/>
      <c r="F824" s="32" t="s">
        <v>109</v>
      </c>
      <c r="G824" s="41">
        <v>635</v>
      </c>
      <c r="H824" s="4" t="s">
        <v>136</v>
      </c>
      <c r="I824" s="71">
        <f>1200+20000</f>
        <v>21200</v>
      </c>
      <c r="J824" s="71">
        <v>2183</v>
      </c>
      <c r="K824" s="190">
        <f t="shared" si="68"/>
        <v>10.297169811320755</v>
      </c>
      <c r="L824" s="178"/>
      <c r="M824" s="71"/>
      <c r="N824" s="71"/>
      <c r="O824" s="189"/>
      <c r="P824" s="178"/>
      <c r="Q824" s="71">
        <f t="shared" si="69"/>
        <v>21200</v>
      </c>
      <c r="R824" s="71">
        <f t="shared" si="70"/>
        <v>2183</v>
      </c>
      <c r="S824" s="188">
        <f t="shared" si="71"/>
        <v>10.297169811320755</v>
      </c>
    </row>
    <row r="825" spans="2:19" ht="12.75">
      <c r="B825" s="95">
        <f t="shared" si="73"/>
        <v>279</v>
      </c>
      <c r="C825" s="4"/>
      <c r="D825" s="4"/>
      <c r="E825" s="4"/>
      <c r="F825" s="32" t="s">
        <v>109</v>
      </c>
      <c r="G825" s="41">
        <v>636</v>
      </c>
      <c r="H825" s="4" t="s">
        <v>130</v>
      </c>
      <c r="I825" s="71">
        <v>140</v>
      </c>
      <c r="J825" s="71">
        <v>104</v>
      </c>
      <c r="K825" s="190">
        <f t="shared" si="68"/>
        <v>74.28571428571429</v>
      </c>
      <c r="L825" s="178"/>
      <c r="M825" s="71"/>
      <c r="N825" s="71"/>
      <c r="O825" s="189"/>
      <c r="P825" s="178"/>
      <c r="Q825" s="71">
        <f t="shared" si="69"/>
        <v>140</v>
      </c>
      <c r="R825" s="71">
        <f t="shared" si="70"/>
        <v>104</v>
      </c>
      <c r="S825" s="188">
        <f t="shared" si="71"/>
        <v>74.28571428571429</v>
      </c>
    </row>
    <row r="826" spans="2:19" ht="12.75">
      <c r="B826" s="95">
        <f t="shared" si="73"/>
        <v>280</v>
      </c>
      <c r="C826" s="4"/>
      <c r="D826" s="4"/>
      <c r="E826" s="4"/>
      <c r="F826" s="32" t="s">
        <v>109</v>
      </c>
      <c r="G826" s="41">
        <v>637</v>
      </c>
      <c r="H826" s="4" t="s">
        <v>126</v>
      </c>
      <c r="I826" s="71">
        <f>53875+7000</f>
        <v>60875</v>
      </c>
      <c r="J826" s="71">
        <v>16226</v>
      </c>
      <c r="K826" s="190">
        <f t="shared" si="68"/>
        <v>26.654620123203287</v>
      </c>
      <c r="L826" s="178"/>
      <c r="M826" s="71"/>
      <c r="N826" s="71"/>
      <c r="O826" s="189"/>
      <c r="P826" s="178"/>
      <c r="Q826" s="71">
        <f t="shared" si="69"/>
        <v>60875</v>
      </c>
      <c r="R826" s="71">
        <f t="shared" si="70"/>
        <v>16226</v>
      </c>
      <c r="S826" s="188">
        <f t="shared" si="71"/>
        <v>26.654620123203287</v>
      </c>
    </row>
    <row r="827" spans="2:19" ht="12.75">
      <c r="B827" s="95">
        <f t="shared" si="73"/>
        <v>281</v>
      </c>
      <c r="C827" s="4"/>
      <c r="D827" s="4"/>
      <c r="E827" s="4"/>
      <c r="F827" s="32" t="s">
        <v>109</v>
      </c>
      <c r="G827" s="41">
        <v>637</v>
      </c>
      <c r="H827" s="4" t="s">
        <v>295</v>
      </c>
      <c r="I827" s="71">
        <v>14300</v>
      </c>
      <c r="J827" s="71">
        <v>319</v>
      </c>
      <c r="K827" s="190">
        <f t="shared" si="68"/>
        <v>2.230769230769231</v>
      </c>
      <c r="L827" s="178"/>
      <c r="M827" s="71"/>
      <c r="N827" s="71"/>
      <c r="O827" s="189"/>
      <c r="P827" s="178"/>
      <c r="Q827" s="71">
        <f t="shared" si="69"/>
        <v>14300</v>
      </c>
      <c r="R827" s="71">
        <f t="shared" si="70"/>
        <v>319</v>
      </c>
      <c r="S827" s="188">
        <f t="shared" si="71"/>
        <v>2.230769230769231</v>
      </c>
    </row>
    <row r="828" spans="2:19" ht="12.75">
      <c r="B828" s="95">
        <f t="shared" si="73"/>
        <v>282</v>
      </c>
      <c r="C828" s="3"/>
      <c r="D828" s="3"/>
      <c r="E828" s="3"/>
      <c r="F828" s="92" t="s">
        <v>109</v>
      </c>
      <c r="G828" s="93">
        <v>640</v>
      </c>
      <c r="H828" s="3" t="s">
        <v>132</v>
      </c>
      <c r="I828" s="70">
        <v>4500</v>
      </c>
      <c r="J828" s="70">
        <v>573</v>
      </c>
      <c r="K828" s="190">
        <f t="shared" si="68"/>
        <v>12.733333333333333</v>
      </c>
      <c r="L828" s="177"/>
      <c r="M828" s="70"/>
      <c r="N828" s="70"/>
      <c r="O828" s="189"/>
      <c r="P828" s="177"/>
      <c r="Q828" s="70">
        <f t="shared" si="69"/>
        <v>4500</v>
      </c>
      <c r="R828" s="70">
        <f t="shared" si="70"/>
        <v>573</v>
      </c>
      <c r="S828" s="188">
        <f t="shared" si="71"/>
        <v>12.733333333333333</v>
      </c>
    </row>
    <row r="829" spans="2:19" ht="12.75">
      <c r="B829" s="95">
        <f t="shared" si="73"/>
        <v>283</v>
      </c>
      <c r="C829" s="3"/>
      <c r="D829" s="3"/>
      <c r="E829" s="3"/>
      <c r="F829" s="92"/>
      <c r="G829" s="93">
        <v>630</v>
      </c>
      <c r="H829" s="3" t="s">
        <v>545</v>
      </c>
      <c r="I829" s="70">
        <v>4135</v>
      </c>
      <c r="J829" s="70">
        <v>2770</v>
      </c>
      <c r="K829" s="190">
        <f t="shared" si="68"/>
        <v>66.98911729141476</v>
      </c>
      <c r="L829" s="177"/>
      <c r="M829" s="70"/>
      <c r="N829" s="70"/>
      <c r="O829" s="189"/>
      <c r="P829" s="177"/>
      <c r="Q829" s="70">
        <f t="shared" si="69"/>
        <v>4135</v>
      </c>
      <c r="R829" s="70">
        <f t="shared" si="70"/>
        <v>2770</v>
      </c>
      <c r="S829" s="188">
        <f t="shared" si="71"/>
        <v>66.98911729141476</v>
      </c>
    </row>
    <row r="830" spans="2:19" ht="12.75">
      <c r="B830" s="95">
        <f t="shared" si="73"/>
        <v>284</v>
      </c>
      <c r="C830" s="3"/>
      <c r="D830" s="3"/>
      <c r="E830" s="3"/>
      <c r="F830" s="92" t="s">
        <v>109</v>
      </c>
      <c r="G830" s="93">
        <v>710</v>
      </c>
      <c r="H830" s="3" t="s">
        <v>180</v>
      </c>
      <c r="I830" s="70"/>
      <c r="J830" s="70"/>
      <c r="K830" s="190"/>
      <c r="L830" s="177"/>
      <c r="M830" s="70">
        <f>M831+M833</f>
        <v>135970</v>
      </c>
      <c r="N830" s="70">
        <f>N831+N833</f>
        <v>14858</v>
      </c>
      <c r="O830" s="189">
        <f aca="true" t="shared" si="74" ref="O830:O835">N830/M830*100</f>
        <v>10.927410458189305</v>
      </c>
      <c r="P830" s="177"/>
      <c r="Q830" s="70">
        <f t="shared" si="69"/>
        <v>135970</v>
      </c>
      <c r="R830" s="70">
        <f t="shared" si="70"/>
        <v>14858</v>
      </c>
      <c r="S830" s="188">
        <f t="shared" si="71"/>
        <v>10.927410458189305</v>
      </c>
    </row>
    <row r="831" spans="2:19" ht="12.75">
      <c r="B831" s="95">
        <f t="shared" si="73"/>
        <v>285</v>
      </c>
      <c r="C831" s="4"/>
      <c r="D831" s="4"/>
      <c r="E831" s="4"/>
      <c r="F831" s="32" t="s">
        <v>109</v>
      </c>
      <c r="G831" s="41">
        <v>717</v>
      </c>
      <c r="H831" s="4" t="s">
        <v>190</v>
      </c>
      <c r="I831" s="71"/>
      <c r="J831" s="71"/>
      <c r="K831" s="190"/>
      <c r="L831" s="178"/>
      <c r="M831" s="71">
        <f>SUM(M832:M832)</f>
        <v>121112</v>
      </c>
      <c r="N831" s="71">
        <f>SUM(N832:N832)</f>
        <v>0</v>
      </c>
      <c r="O831" s="189">
        <f t="shared" si="74"/>
        <v>0</v>
      </c>
      <c r="P831" s="178"/>
      <c r="Q831" s="71">
        <f t="shared" si="69"/>
        <v>121112</v>
      </c>
      <c r="R831" s="71">
        <f t="shared" si="70"/>
        <v>0</v>
      </c>
      <c r="S831" s="188">
        <f t="shared" si="71"/>
        <v>0</v>
      </c>
    </row>
    <row r="832" spans="2:19" ht="12.75">
      <c r="B832" s="95">
        <f t="shared" si="73"/>
        <v>286</v>
      </c>
      <c r="C832" s="5"/>
      <c r="D832" s="5"/>
      <c r="E832" s="5"/>
      <c r="F832" s="36"/>
      <c r="G832" s="42"/>
      <c r="H832" s="5" t="s">
        <v>388</v>
      </c>
      <c r="I832" s="75"/>
      <c r="J832" s="75"/>
      <c r="K832" s="190"/>
      <c r="L832" s="99"/>
      <c r="M832" s="75">
        <v>121112</v>
      </c>
      <c r="N832" s="75">
        <v>0</v>
      </c>
      <c r="O832" s="189">
        <f t="shared" si="74"/>
        <v>0</v>
      </c>
      <c r="P832" s="99"/>
      <c r="Q832" s="75">
        <f t="shared" si="69"/>
        <v>121112</v>
      </c>
      <c r="R832" s="75">
        <f t="shared" si="70"/>
        <v>0</v>
      </c>
      <c r="S832" s="188">
        <f t="shared" si="71"/>
        <v>0</v>
      </c>
    </row>
    <row r="833" spans="2:19" ht="12.75">
      <c r="B833" s="95">
        <f t="shared" si="73"/>
        <v>287</v>
      </c>
      <c r="C833" s="5"/>
      <c r="D833" s="5"/>
      <c r="E833" s="5"/>
      <c r="F833" s="152" t="s">
        <v>109</v>
      </c>
      <c r="G833" s="153">
        <v>719</v>
      </c>
      <c r="H833" s="154" t="s">
        <v>547</v>
      </c>
      <c r="I833" s="75"/>
      <c r="J833" s="75"/>
      <c r="K833" s="190"/>
      <c r="L833" s="99"/>
      <c r="M833" s="71">
        <f>M834</f>
        <v>14858</v>
      </c>
      <c r="N833" s="71">
        <f>N834</f>
        <v>14858</v>
      </c>
      <c r="O833" s="189">
        <f t="shared" si="74"/>
        <v>100</v>
      </c>
      <c r="P833" s="178"/>
      <c r="Q833" s="71">
        <f t="shared" si="69"/>
        <v>14858</v>
      </c>
      <c r="R833" s="71">
        <f t="shared" si="70"/>
        <v>14858</v>
      </c>
      <c r="S833" s="188">
        <f t="shared" si="71"/>
        <v>100</v>
      </c>
    </row>
    <row r="834" spans="2:19" ht="12.75">
      <c r="B834" s="95">
        <f t="shared" si="73"/>
        <v>288</v>
      </c>
      <c r="C834" s="5"/>
      <c r="D834" s="5"/>
      <c r="E834" s="5"/>
      <c r="F834" s="160"/>
      <c r="G834" s="157"/>
      <c r="H834" s="158" t="s">
        <v>548</v>
      </c>
      <c r="I834" s="75"/>
      <c r="J834" s="75"/>
      <c r="K834" s="190"/>
      <c r="L834" s="99"/>
      <c r="M834" s="75">
        <v>14858</v>
      </c>
      <c r="N834" s="75">
        <v>14858</v>
      </c>
      <c r="O834" s="189">
        <f t="shared" si="74"/>
        <v>100</v>
      </c>
      <c r="P834" s="99"/>
      <c r="Q834" s="75">
        <f t="shared" si="69"/>
        <v>14858</v>
      </c>
      <c r="R834" s="75">
        <f t="shared" si="70"/>
        <v>14858</v>
      </c>
      <c r="S834" s="188">
        <f t="shared" si="71"/>
        <v>100</v>
      </c>
    </row>
    <row r="835" spans="2:19" ht="15">
      <c r="B835" s="95">
        <f t="shared" si="73"/>
        <v>289</v>
      </c>
      <c r="C835" s="12"/>
      <c r="D835" s="12"/>
      <c r="E835" s="12">
        <v>10</v>
      </c>
      <c r="F835" s="35"/>
      <c r="G835" s="43"/>
      <c r="H835" s="12" t="s">
        <v>1</v>
      </c>
      <c r="I835" s="82">
        <f>I836+I837+I838+I846+I847+I848+I849+I857+I858</f>
        <v>996111</v>
      </c>
      <c r="J835" s="82">
        <f>J836+J837+J838+J846+J847+J848+J849+J857+J858</f>
        <v>339690</v>
      </c>
      <c r="K835" s="190">
        <f t="shared" si="68"/>
        <v>34.10162120486572</v>
      </c>
      <c r="L835" s="182"/>
      <c r="M835" s="82">
        <f>M859</f>
        <v>52388</v>
      </c>
      <c r="N835" s="82">
        <f>N859</f>
        <v>0</v>
      </c>
      <c r="O835" s="189">
        <f t="shared" si="74"/>
        <v>0</v>
      </c>
      <c r="P835" s="182"/>
      <c r="Q835" s="82">
        <f t="shared" si="69"/>
        <v>1048499</v>
      </c>
      <c r="R835" s="82">
        <f t="shared" si="70"/>
        <v>339690</v>
      </c>
      <c r="S835" s="188">
        <f t="shared" si="71"/>
        <v>32.397741914870686</v>
      </c>
    </row>
    <row r="836" spans="2:19" ht="12.75">
      <c r="B836" s="95">
        <f t="shared" si="73"/>
        <v>290</v>
      </c>
      <c r="C836" s="3"/>
      <c r="D836" s="3"/>
      <c r="E836" s="3"/>
      <c r="F836" s="92" t="s">
        <v>123</v>
      </c>
      <c r="G836" s="93">
        <v>610</v>
      </c>
      <c r="H836" s="3" t="s">
        <v>134</v>
      </c>
      <c r="I836" s="70">
        <f>217775+38342</f>
        <v>256117</v>
      </c>
      <c r="J836" s="70">
        <v>96718</v>
      </c>
      <c r="K836" s="190">
        <f t="shared" si="68"/>
        <v>37.76320978302885</v>
      </c>
      <c r="L836" s="177"/>
      <c r="M836" s="70"/>
      <c r="N836" s="70"/>
      <c r="O836" s="189"/>
      <c r="P836" s="177"/>
      <c r="Q836" s="70">
        <f t="shared" si="69"/>
        <v>256117</v>
      </c>
      <c r="R836" s="70">
        <f t="shared" si="70"/>
        <v>96718</v>
      </c>
      <c r="S836" s="188">
        <f t="shared" si="71"/>
        <v>37.76320978302885</v>
      </c>
    </row>
    <row r="837" spans="2:19" ht="12.75">
      <c r="B837" s="95">
        <f t="shared" si="73"/>
        <v>291</v>
      </c>
      <c r="C837" s="3"/>
      <c r="D837" s="3"/>
      <c r="E837" s="3"/>
      <c r="F837" s="92" t="s">
        <v>123</v>
      </c>
      <c r="G837" s="93">
        <v>620</v>
      </c>
      <c r="H837" s="3" t="s">
        <v>128</v>
      </c>
      <c r="I837" s="70">
        <f>76216+13500</f>
        <v>89716</v>
      </c>
      <c r="J837" s="70">
        <v>35003</v>
      </c>
      <c r="K837" s="190">
        <f t="shared" si="68"/>
        <v>39.015337286548665</v>
      </c>
      <c r="L837" s="177"/>
      <c r="M837" s="70"/>
      <c r="N837" s="70"/>
      <c r="O837" s="189"/>
      <c r="P837" s="177"/>
      <c r="Q837" s="70">
        <f t="shared" si="69"/>
        <v>89716</v>
      </c>
      <c r="R837" s="70">
        <f t="shared" si="70"/>
        <v>35003</v>
      </c>
      <c r="S837" s="188">
        <f t="shared" si="71"/>
        <v>39.015337286548665</v>
      </c>
    </row>
    <row r="838" spans="2:19" ht="12.75">
      <c r="B838" s="95">
        <f t="shared" si="73"/>
        <v>292</v>
      </c>
      <c r="C838" s="3"/>
      <c r="D838" s="3"/>
      <c r="E838" s="3"/>
      <c r="F838" s="92" t="s">
        <v>123</v>
      </c>
      <c r="G838" s="93">
        <v>630</v>
      </c>
      <c r="H838" s="3" t="s">
        <v>125</v>
      </c>
      <c r="I838" s="70">
        <f>SUM(I839:I845)</f>
        <v>32338</v>
      </c>
      <c r="J838" s="70">
        <f>SUM(J839:J845)</f>
        <v>12368</v>
      </c>
      <c r="K838" s="190">
        <f t="shared" si="68"/>
        <v>38.246026346712846</v>
      </c>
      <c r="L838" s="177"/>
      <c r="M838" s="70"/>
      <c r="N838" s="70"/>
      <c r="O838" s="189"/>
      <c r="P838" s="177"/>
      <c r="Q838" s="70">
        <f t="shared" si="69"/>
        <v>32338</v>
      </c>
      <c r="R838" s="70">
        <f t="shared" si="70"/>
        <v>12368</v>
      </c>
      <c r="S838" s="188">
        <f t="shared" si="71"/>
        <v>38.246026346712846</v>
      </c>
    </row>
    <row r="839" spans="2:19" ht="12.75">
      <c r="B839" s="95">
        <f t="shared" si="73"/>
        <v>293</v>
      </c>
      <c r="C839" s="4"/>
      <c r="D839" s="4"/>
      <c r="E839" s="4"/>
      <c r="F839" s="32" t="s">
        <v>123</v>
      </c>
      <c r="G839" s="41">
        <v>631</v>
      </c>
      <c r="H839" s="4" t="s">
        <v>131</v>
      </c>
      <c r="I839" s="71">
        <v>100</v>
      </c>
      <c r="J839" s="71">
        <v>17</v>
      </c>
      <c r="K839" s="190">
        <f t="shared" si="68"/>
        <v>17</v>
      </c>
      <c r="L839" s="178"/>
      <c r="M839" s="71"/>
      <c r="N839" s="71"/>
      <c r="O839" s="189"/>
      <c r="P839" s="178"/>
      <c r="Q839" s="71">
        <f t="shared" si="69"/>
        <v>100</v>
      </c>
      <c r="R839" s="71">
        <f t="shared" si="70"/>
        <v>17</v>
      </c>
      <c r="S839" s="188">
        <f t="shared" si="71"/>
        <v>17</v>
      </c>
    </row>
    <row r="840" spans="2:19" ht="12.75">
      <c r="B840" s="95">
        <f t="shared" si="73"/>
        <v>294</v>
      </c>
      <c r="C840" s="4"/>
      <c r="D840" s="4"/>
      <c r="E840" s="4"/>
      <c r="F840" s="32" t="s">
        <v>123</v>
      </c>
      <c r="G840" s="41">
        <v>632</v>
      </c>
      <c r="H840" s="4" t="s">
        <v>138</v>
      </c>
      <c r="I840" s="71">
        <v>12478</v>
      </c>
      <c r="J840" s="71">
        <v>4043</v>
      </c>
      <c r="K840" s="190">
        <f t="shared" si="68"/>
        <v>32.40102580541753</v>
      </c>
      <c r="L840" s="178"/>
      <c r="M840" s="71"/>
      <c r="N840" s="71"/>
      <c r="O840" s="189"/>
      <c r="P840" s="178"/>
      <c r="Q840" s="71">
        <f t="shared" si="69"/>
        <v>12478</v>
      </c>
      <c r="R840" s="71">
        <f t="shared" si="70"/>
        <v>4043</v>
      </c>
      <c r="S840" s="188">
        <f t="shared" si="71"/>
        <v>32.40102580541753</v>
      </c>
    </row>
    <row r="841" spans="2:19" ht="12.75">
      <c r="B841" s="95">
        <f t="shared" si="73"/>
        <v>295</v>
      </c>
      <c r="C841" s="4"/>
      <c r="D841" s="4"/>
      <c r="E841" s="4"/>
      <c r="F841" s="32" t="s">
        <v>123</v>
      </c>
      <c r="G841" s="41">
        <v>633</v>
      </c>
      <c r="H841" s="4" t="s">
        <v>129</v>
      </c>
      <c r="I841" s="71">
        <v>5100</v>
      </c>
      <c r="J841" s="71">
        <v>2089</v>
      </c>
      <c r="K841" s="190">
        <f t="shared" si="68"/>
        <v>40.96078431372549</v>
      </c>
      <c r="L841" s="178"/>
      <c r="M841" s="71"/>
      <c r="N841" s="71"/>
      <c r="O841" s="189"/>
      <c r="P841" s="178"/>
      <c r="Q841" s="71">
        <f t="shared" si="69"/>
        <v>5100</v>
      </c>
      <c r="R841" s="71">
        <f t="shared" si="70"/>
        <v>2089</v>
      </c>
      <c r="S841" s="188">
        <f t="shared" si="71"/>
        <v>40.96078431372549</v>
      </c>
    </row>
    <row r="842" spans="2:19" ht="12.75">
      <c r="B842" s="95">
        <f t="shared" si="73"/>
        <v>296</v>
      </c>
      <c r="C842" s="4"/>
      <c r="D842" s="4"/>
      <c r="E842" s="4"/>
      <c r="F842" s="32" t="s">
        <v>123</v>
      </c>
      <c r="G842" s="41">
        <v>634</v>
      </c>
      <c r="H842" s="4" t="s">
        <v>135</v>
      </c>
      <c r="I842" s="71">
        <v>2500</v>
      </c>
      <c r="J842" s="71">
        <v>400</v>
      </c>
      <c r="K842" s="190">
        <f t="shared" si="68"/>
        <v>16</v>
      </c>
      <c r="L842" s="178"/>
      <c r="M842" s="71"/>
      <c r="N842" s="71"/>
      <c r="O842" s="189"/>
      <c r="P842" s="178"/>
      <c r="Q842" s="71">
        <f t="shared" si="69"/>
        <v>2500</v>
      </c>
      <c r="R842" s="71">
        <f t="shared" si="70"/>
        <v>400</v>
      </c>
      <c r="S842" s="188">
        <f t="shared" si="71"/>
        <v>16</v>
      </c>
    </row>
    <row r="843" spans="2:19" ht="12.75">
      <c r="B843" s="95">
        <f t="shared" si="73"/>
        <v>297</v>
      </c>
      <c r="C843" s="4"/>
      <c r="D843" s="4"/>
      <c r="E843" s="4"/>
      <c r="F843" s="32" t="s">
        <v>123</v>
      </c>
      <c r="G843" s="41">
        <v>635</v>
      </c>
      <c r="H843" s="4" t="s">
        <v>136</v>
      </c>
      <c r="I843" s="71">
        <v>1280</v>
      </c>
      <c r="J843" s="71">
        <v>0</v>
      </c>
      <c r="K843" s="190">
        <f t="shared" si="68"/>
        <v>0</v>
      </c>
      <c r="L843" s="178"/>
      <c r="M843" s="71"/>
      <c r="N843" s="71"/>
      <c r="O843" s="189"/>
      <c r="P843" s="178"/>
      <c r="Q843" s="71">
        <f t="shared" si="69"/>
        <v>1280</v>
      </c>
      <c r="R843" s="71">
        <f t="shared" si="70"/>
        <v>0</v>
      </c>
      <c r="S843" s="188">
        <f t="shared" si="71"/>
        <v>0</v>
      </c>
    </row>
    <row r="844" spans="2:19" ht="12.75">
      <c r="B844" s="95">
        <f t="shared" si="73"/>
        <v>298</v>
      </c>
      <c r="C844" s="4"/>
      <c r="D844" s="4"/>
      <c r="E844" s="4"/>
      <c r="F844" s="32" t="s">
        <v>123</v>
      </c>
      <c r="G844" s="41">
        <v>636</v>
      </c>
      <c r="H844" s="4" t="s">
        <v>130</v>
      </c>
      <c r="I844" s="71">
        <v>20</v>
      </c>
      <c r="J844" s="71">
        <v>0</v>
      </c>
      <c r="K844" s="190">
        <f t="shared" si="68"/>
        <v>0</v>
      </c>
      <c r="L844" s="178"/>
      <c r="M844" s="71"/>
      <c r="N844" s="71"/>
      <c r="O844" s="189"/>
      <c r="P844" s="178"/>
      <c r="Q844" s="71">
        <f t="shared" si="69"/>
        <v>20</v>
      </c>
      <c r="R844" s="71">
        <f t="shared" si="70"/>
        <v>0</v>
      </c>
      <c r="S844" s="188">
        <f t="shared" si="71"/>
        <v>0</v>
      </c>
    </row>
    <row r="845" spans="2:19" ht="12.75">
      <c r="B845" s="95">
        <f t="shared" si="73"/>
        <v>299</v>
      </c>
      <c r="C845" s="4"/>
      <c r="D845" s="4"/>
      <c r="E845" s="4"/>
      <c r="F845" s="32" t="s">
        <v>123</v>
      </c>
      <c r="G845" s="41">
        <v>637</v>
      </c>
      <c r="H845" s="4" t="s">
        <v>126</v>
      </c>
      <c r="I845" s="71">
        <v>10860</v>
      </c>
      <c r="J845" s="71">
        <v>5819</v>
      </c>
      <c r="K845" s="190">
        <f t="shared" si="68"/>
        <v>53.58195211786372</v>
      </c>
      <c r="L845" s="178"/>
      <c r="M845" s="71"/>
      <c r="N845" s="71"/>
      <c r="O845" s="189"/>
      <c r="P845" s="178"/>
      <c r="Q845" s="71">
        <f t="shared" si="69"/>
        <v>10860</v>
      </c>
      <c r="R845" s="71">
        <f t="shared" si="70"/>
        <v>5819</v>
      </c>
      <c r="S845" s="188">
        <f t="shared" si="71"/>
        <v>53.58195211786372</v>
      </c>
    </row>
    <row r="846" spans="2:19" ht="12.75">
      <c r="B846" s="95">
        <f t="shared" si="73"/>
        <v>300</v>
      </c>
      <c r="C846" s="3"/>
      <c r="D846" s="3"/>
      <c r="E846" s="3"/>
      <c r="F846" s="92" t="s">
        <v>123</v>
      </c>
      <c r="G846" s="93">
        <v>640</v>
      </c>
      <c r="H846" s="3" t="s">
        <v>132</v>
      </c>
      <c r="I846" s="70">
        <v>500</v>
      </c>
      <c r="J846" s="70">
        <v>253</v>
      </c>
      <c r="K846" s="190">
        <f t="shared" si="68"/>
        <v>50.6</v>
      </c>
      <c r="L846" s="177"/>
      <c r="M846" s="70"/>
      <c r="N846" s="70"/>
      <c r="O846" s="189"/>
      <c r="P846" s="177"/>
      <c r="Q846" s="70">
        <f t="shared" si="69"/>
        <v>500</v>
      </c>
      <c r="R846" s="70">
        <f t="shared" si="70"/>
        <v>253</v>
      </c>
      <c r="S846" s="188">
        <f t="shared" si="71"/>
        <v>50.6</v>
      </c>
    </row>
    <row r="847" spans="2:19" ht="12.75">
      <c r="B847" s="95">
        <f t="shared" si="73"/>
        <v>301</v>
      </c>
      <c r="C847" s="3"/>
      <c r="D847" s="3"/>
      <c r="E847" s="3"/>
      <c r="F847" s="92" t="s">
        <v>109</v>
      </c>
      <c r="G847" s="93">
        <v>610</v>
      </c>
      <c r="H847" s="3" t="s">
        <v>134</v>
      </c>
      <c r="I847" s="70">
        <f>191420+29000+50+650</f>
        <v>221120</v>
      </c>
      <c r="J847" s="70">
        <v>96211</v>
      </c>
      <c r="K847" s="190">
        <f t="shared" si="68"/>
        <v>43.510763386396526</v>
      </c>
      <c r="L847" s="177"/>
      <c r="M847" s="70"/>
      <c r="N847" s="70"/>
      <c r="O847" s="189"/>
      <c r="P847" s="177"/>
      <c r="Q847" s="70">
        <f t="shared" si="69"/>
        <v>221120</v>
      </c>
      <c r="R847" s="70">
        <f t="shared" si="70"/>
        <v>96211</v>
      </c>
      <c r="S847" s="188">
        <f t="shared" si="71"/>
        <v>43.510763386396526</v>
      </c>
    </row>
    <row r="848" spans="2:19" ht="12.75">
      <c r="B848" s="95">
        <f t="shared" si="73"/>
        <v>302</v>
      </c>
      <c r="C848" s="3"/>
      <c r="D848" s="3"/>
      <c r="E848" s="3"/>
      <c r="F848" s="92" t="s">
        <v>109</v>
      </c>
      <c r="G848" s="93">
        <v>620</v>
      </c>
      <c r="H848" s="3" t="s">
        <v>128</v>
      </c>
      <c r="I848" s="70">
        <f>67009+10200+10+227</f>
        <v>77446</v>
      </c>
      <c r="J848" s="70">
        <v>34749</v>
      </c>
      <c r="K848" s="190">
        <f t="shared" si="68"/>
        <v>44.868682695039126</v>
      </c>
      <c r="L848" s="177"/>
      <c r="M848" s="70"/>
      <c r="N848" s="70"/>
      <c r="O848" s="189"/>
      <c r="P848" s="177"/>
      <c r="Q848" s="70">
        <f t="shared" si="69"/>
        <v>77446</v>
      </c>
      <c r="R848" s="70">
        <f t="shared" si="70"/>
        <v>34749</v>
      </c>
      <c r="S848" s="188">
        <f t="shared" si="71"/>
        <v>44.868682695039126</v>
      </c>
    </row>
    <row r="849" spans="2:19" ht="12.75">
      <c r="B849" s="95">
        <f t="shared" si="73"/>
        <v>303</v>
      </c>
      <c r="C849" s="3"/>
      <c r="D849" s="3"/>
      <c r="E849" s="3"/>
      <c r="F849" s="92" t="s">
        <v>109</v>
      </c>
      <c r="G849" s="93">
        <v>630</v>
      </c>
      <c r="H849" s="3" t="s">
        <v>125</v>
      </c>
      <c r="I849" s="70">
        <f>SUM(I850:I856)</f>
        <v>307152</v>
      </c>
      <c r="J849" s="70">
        <f>SUM(J850:J856)</f>
        <v>57715</v>
      </c>
      <c r="K849" s="190">
        <f t="shared" si="68"/>
        <v>18.790370891285097</v>
      </c>
      <c r="L849" s="177"/>
      <c r="M849" s="70"/>
      <c r="N849" s="70"/>
      <c r="O849" s="189"/>
      <c r="P849" s="177"/>
      <c r="Q849" s="70">
        <f t="shared" si="69"/>
        <v>307152</v>
      </c>
      <c r="R849" s="70">
        <f t="shared" si="70"/>
        <v>57715</v>
      </c>
      <c r="S849" s="188">
        <f t="shared" si="71"/>
        <v>18.790370891285097</v>
      </c>
    </row>
    <row r="850" spans="2:19" ht="12.75">
      <c r="B850" s="95">
        <f t="shared" si="73"/>
        <v>304</v>
      </c>
      <c r="C850" s="4"/>
      <c r="D850" s="4"/>
      <c r="E850" s="4"/>
      <c r="F850" s="32" t="s">
        <v>109</v>
      </c>
      <c r="G850" s="41">
        <v>631</v>
      </c>
      <c r="H850" s="4" t="s">
        <v>131</v>
      </c>
      <c r="I850" s="71">
        <v>100</v>
      </c>
      <c r="J850" s="71">
        <v>17</v>
      </c>
      <c r="K850" s="190">
        <f t="shared" si="68"/>
        <v>17</v>
      </c>
      <c r="L850" s="178"/>
      <c r="M850" s="71"/>
      <c r="N850" s="71"/>
      <c r="O850" s="189"/>
      <c r="P850" s="178"/>
      <c r="Q850" s="71">
        <f t="shared" si="69"/>
        <v>100</v>
      </c>
      <c r="R850" s="71">
        <f t="shared" si="70"/>
        <v>17</v>
      </c>
      <c r="S850" s="188">
        <f t="shared" si="71"/>
        <v>17</v>
      </c>
    </row>
    <row r="851" spans="2:19" ht="12.75">
      <c r="B851" s="95">
        <f t="shared" si="73"/>
        <v>305</v>
      </c>
      <c r="C851" s="4"/>
      <c r="D851" s="4"/>
      <c r="E851" s="4"/>
      <c r="F851" s="32" t="s">
        <v>109</v>
      </c>
      <c r="G851" s="41">
        <v>632</v>
      </c>
      <c r="H851" s="4" t="s">
        <v>138</v>
      </c>
      <c r="I851" s="71">
        <v>59478</v>
      </c>
      <c r="J851" s="71">
        <v>44576</v>
      </c>
      <c r="K851" s="190">
        <f t="shared" si="68"/>
        <v>74.94535794747638</v>
      </c>
      <c r="L851" s="178"/>
      <c r="M851" s="71"/>
      <c r="N851" s="71"/>
      <c r="O851" s="189"/>
      <c r="P851" s="178"/>
      <c r="Q851" s="71">
        <f t="shared" si="69"/>
        <v>59478</v>
      </c>
      <c r="R851" s="71">
        <f t="shared" si="70"/>
        <v>44576</v>
      </c>
      <c r="S851" s="188">
        <f t="shared" si="71"/>
        <v>74.94535794747638</v>
      </c>
    </row>
    <row r="852" spans="2:19" ht="12.75">
      <c r="B852" s="95">
        <f t="shared" si="73"/>
        <v>306</v>
      </c>
      <c r="C852" s="4"/>
      <c r="D852" s="4"/>
      <c r="E852" s="4"/>
      <c r="F852" s="32" t="s">
        <v>109</v>
      </c>
      <c r="G852" s="41">
        <v>633</v>
      </c>
      <c r="H852" s="4" t="s">
        <v>129</v>
      </c>
      <c r="I852" s="71">
        <f>16440-4240</f>
        <v>12200</v>
      </c>
      <c r="J852" s="71">
        <v>2089</v>
      </c>
      <c r="K852" s="190">
        <f t="shared" si="68"/>
        <v>17.12295081967213</v>
      </c>
      <c r="L852" s="178"/>
      <c r="M852" s="71"/>
      <c r="N852" s="71"/>
      <c r="O852" s="189"/>
      <c r="P852" s="178"/>
      <c r="Q852" s="71">
        <f t="shared" si="69"/>
        <v>12200</v>
      </c>
      <c r="R852" s="71">
        <f t="shared" si="70"/>
        <v>2089</v>
      </c>
      <c r="S852" s="188">
        <f t="shared" si="71"/>
        <v>17.12295081967213</v>
      </c>
    </row>
    <row r="853" spans="2:19" ht="12.75">
      <c r="B853" s="95">
        <f t="shared" si="73"/>
        <v>307</v>
      </c>
      <c r="C853" s="4"/>
      <c r="D853" s="4"/>
      <c r="E853" s="4"/>
      <c r="F853" s="32" t="s">
        <v>109</v>
      </c>
      <c r="G853" s="41">
        <v>635</v>
      </c>
      <c r="H853" s="4" t="s">
        <v>136</v>
      </c>
      <c r="I853" s="71">
        <v>201280</v>
      </c>
      <c r="J853" s="71">
        <v>0</v>
      </c>
      <c r="K853" s="190">
        <f t="shared" si="68"/>
        <v>0</v>
      </c>
      <c r="L853" s="178"/>
      <c r="M853" s="71"/>
      <c r="N853" s="71"/>
      <c r="O853" s="189"/>
      <c r="P853" s="178"/>
      <c r="Q853" s="71">
        <f t="shared" si="69"/>
        <v>201280</v>
      </c>
      <c r="R853" s="71">
        <f t="shared" si="70"/>
        <v>0</v>
      </c>
      <c r="S853" s="188">
        <f t="shared" si="71"/>
        <v>0</v>
      </c>
    </row>
    <row r="854" spans="2:19" ht="12.75">
      <c r="B854" s="95">
        <f t="shared" si="73"/>
        <v>308</v>
      </c>
      <c r="C854" s="4"/>
      <c r="D854" s="4"/>
      <c r="E854" s="4"/>
      <c r="F854" s="32" t="s">
        <v>109</v>
      </c>
      <c r="G854" s="41">
        <v>636</v>
      </c>
      <c r="H854" s="4" t="s">
        <v>130</v>
      </c>
      <c r="I854" s="71">
        <v>20</v>
      </c>
      <c r="J854" s="71">
        <v>0</v>
      </c>
      <c r="K854" s="190">
        <f t="shared" si="68"/>
        <v>0</v>
      </c>
      <c r="L854" s="178"/>
      <c r="M854" s="71"/>
      <c r="N854" s="71"/>
      <c r="O854" s="189"/>
      <c r="P854" s="178"/>
      <c r="Q854" s="71">
        <f t="shared" si="69"/>
        <v>20</v>
      </c>
      <c r="R854" s="71">
        <f t="shared" si="70"/>
        <v>0</v>
      </c>
      <c r="S854" s="188">
        <f t="shared" si="71"/>
        <v>0</v>
      </c>
    </row>
    <row r="855" spans="2:19" ht="12.75">
      <c r="B855" s="95">
        <f t="shared" si="73"/>
        <v>309</v>
      </c>
      <c r="C855" s="4"/>
      <c r="D855" s="4"/>
      <c r="E855" s="4"/>
      <c r="F855" s="32" t="s">
        <v>109</v>
      </c>
      <c r="G855" s="41">
        <v>637</v>
      </c>
      <c r="H855" s="4" t="s">
        <v>126</v>
      </c>
      <c r="I855" s="71">
        <f>14278+8521</f>
        <v>22799</v>
      </c>
      <c r="J855" s="71">
        <v>11033</v>
      </c>
      <c r="K855" s="190">
        <f t="shared" si="68"/>
        <v>48.39247335409448</v>
      </c>
      <c r="L855" s="178"/>
      <c r="M855" s="71"/>
      <c r="N855" s="71"/>
      <c r="O855" s="189"/>
      <c r="P855" s="178"/>
      <c r="Q855" s="71">
        <f t="shared" si="69"/>
        <v>22799</v>
      </c>
      <c r="R855" s="71">
        <f t="shared" si="70"/>
        <v>11033</v>
      </c>
      <c r="S855" s="188">
        <f t="shared" si="71"/>
        <v>48.39247335409448</v>
      </c>
    </row>
    <row r="856" spans="2:19" ht="12.75">
      <c r="B856" s="95">
        <f t="shared" si="73"/>
        <v>310</v>
      </c>
      <c r="C856" s="4"/>
      <c r="D856" s="4"/>
      <c r="E856" s="4"/>
      <c r="F856" s="32" t="s">
        <v>109</v>
      </c>
      <c r="G856" s="41">
        <v>637</v>
      </c>
      <c r="H856" s="4" t="s">
        <v>295</v>
      </c>
      <c r="I856" s="71">
        <v>11275</v>
      </c>
      <c r="J856" s="71">
        <v>0</v>
      </c>
      <c r="K856" s="190">
        <f t="shared" si="68"/>
        <v>0</v>
      </c>
      <c r="L856" s="178"/>
      <c r="M856" s="71"/>
      <c r="N856" s="71"/>
      <c r="O856" s="189"/>
      <c r="P856" s="178"/>
      <c r="Q856" s="71">
        <f t="shared" si="69"/>
        <v>11275</v>
      </c>
      <c r="R856" s="71">
        <f t="shared" si="70"/>
        <v>0</v>
      </c>
      <c r="S856" s="188">
        <f t="shared" si="71"/>
        <v>0</v>
      </c>
    </row>
    <row r="857" spans="2:19" ht="12.75">
      <c r="B857" s="95">
        <f t="shared" si="73"/>
        <v>311</v>
      </c>
      <c r="C857" s="3"/>
      <c r="D857" s="3"/>
      <c r="E857" s="3"/>
      <c r="F857" s="92" t="s">
        <v>109</v>
      </c>
      <c r="G857" s="93">
        <v>640</v>
      </c>
      <c r="H857" s="3" t="s">
        <v>132</v>
      </c>
      <c r="I857" s="70">
        <v>500</v>
      </c>
      <c r="J857" s="72">
        <v>524</v>
      </c>
      <c r="K857" s="190">
        <f t="shared" si="68"/>
        <v>104.80000000000001</v>
      </c>
      <c r="L857" s="177"/>
      <c r="M857" s="70"/>
      <c r="N857" s="70"/>
      <c r="O857" s="189"/>
      <c r="P857" s="177"/>
      <c r="Q857" s="70">
        <f t="shared" si="69"/>
        <v>500</v>
      </c>
      <c r="R857" s="70">
        <f t="shared" si="70"/>
        <v>524</v>
      </c>
      <c r="S857" s="188">
        <f t="shared" si="71"/>
        <v>104.80000000000001</v>
      </c>
    </row>
    <row r="858" spans="2:19" ht="12.75">
      <c r="B858" s="95">
        <f t="shared" si="73"/>
        <v>312</v>
      </c>
      <c r="C858" s="3"/>
      <c r="D858" s="3"/>
      <c r="E858" s="3"/>
      <c r="F858" s="92"/>
      <c r="G858" s="93">
        <v>630</v>
      </c>
      <c r="H858" s="3" t="s">
        <v>545</v>
      </c>
      <c r="I858" s="70">
        <v>11222</v>
      </c>
      <c r="J858" s="70">
        <v>6149</v>
      </c>
      <c r="K858" s="190">
        <f t="shared" si="68"/>
        <v>54.7941543396899</v>
      </c>
      <c r="L858" s="177"/>
      <c r="M858" s="70"/>
      <c r="N858" s="70"/>
      <c r="O858" s="189"/>
      <c r="P858" s="177"/>
      <c r="Q858" s="70">
        <f t="shared" si="69"/>
        <v>11222</v>
      </c>
      <c r="R858" s="70">
        <f t="shared" si="70"/>
        <v>6149</v>
      </c>
      <c r="S858" s="188">
        <f t="shared" si="71"/>
        <v>54.7941543396899</v>
      </c>
    </row>
    <row r="859" spans="2:19" ht="12.75">
      <c r="B859" s="95">
        <f t="shared" si="73"/>
        <v>313</v>
      </c>
      <c r="C859" s="3"/>
      <c r="D859" s="3"/>
      <c r="E859" s="3"/>
      <c r="F859" s="92" t="s">
        <v>109</v>
      </c>
      <c r="G859" s="93">
        <v>710</v>
      </c>
      <c r="H859" s="3" t="s">
        <v>180</v>
      </c>
      <c r="I859" s="70"/>
      <c r="J859" s="70"/>
      <c r="K859" s="190"/>
      <c r="L859" s="177"/>
      <c r="M859" s="70">
        <f>M860</f>
        <v>52388</v>
      </c>
      <c r="N859" s="70">
        <f>N860</f>
        <v>0</v>
      </c>
      <c r="O859" s="189">
        <f>N859/M859*100</f>
        <v>0</v>
      </c>
      <c r="P859" s="177"/>
      <c r="Q859" s="70">
        <f t="shared" si="69"/>
        <v>52388</v>
      </c>
      <c r="R859" s="70">
        <f t="shared" si="70"/>
        <v>0</v>
      </c>
      <c r="S859" s="188">
        <f t="shared" si="71"/>
        <v>0</v>
      </c>
    </row>
    <row r="860" spans="2:19" ht="12.75">
      <c r="B860" s="95">
        <f t="shared" si="73"/>
        <v>314</v>
      </c>
      <c r="C860" s="4"/>
      <c r="D860" s="4"/>
      <c r="E860" s="4"/>
      <c r="F860" s="32" t="s">
        <v>109</v>
      </c>
      <c r="G860" s="41">
        <v>717</v>
      </c>
      <c r="H860" s="4" t="s">
        <v>190</v>
      </c>
      <c r="I860" s="71"/>
      <c r="J860" s="71"/>
      <c r="K860" s="190"/>
      <c r="L860" s="178"/>
      <c r="M860" s="71">
        <f>SUM(M861:M861)</f>
        <v>52388</v>
      </c>
      <c r="N860" s="71">
        <f>SUM(N861:N861)</f>
        <v>0</v>
      </c>
      <c r="O860" s="189">
        <f>N860/M860*100</f>
        <v>0</v>
      </c>
      <c r="P860" s="178"/>
      <c r="Q860" s="71">
        <f t="shared" si="69"/>
        <v>52388</v>
      </c>
      <c r="R860" s="71">
        <f t="shared" si="70"/>
        <v>0</v>
      </c>
      <c r="S860" s="188">
        <f t="shared" si="71"/>
        <v>0</v>
      </c>
    </row>
    <row r="861" spans="2:19" ht="12.75">
      <c r="B861" s="95">
        <f t="shared" si="73"/>
        <v>315</v>
      </c>
      <c r="C861" s="5"/>
      <c r="D861" s="5"/>
      <c r="E861" s="5"/>
      <c r="F861" s="36"/>
      <c r="G861" s="42"/>
      <c r="H861" s="5" t="s">
        <v>388</v>
      </c>
      <c r="I861" s="75"/>
      <c r="J861" s="75"/>
      <c r="K861" s="190"/>
      <c r="L861" s="99"/>
      <c r="M861" s="75">
        <v>52388</v>
      </c>
      <c r="N861" s="75">
        <v>0</v>
      </c>
      <c r="O861" s="189">
        <f>N861/M861*100</f>
        <v>0</v>
      </c>
      <c r="P861" s="99"/>
      <c r="Q861" s="75">
        <f t="shared" si="69"/>
        <v>52388</v>
      </c>
      <c r="R861" s="75">
        <f t="shared" si="70"/>
        <v>0</v>
      </c>
      <c r="S861" s="188">
        <f t="shared" si="71"/>
        <v>0</v>
      </c>
    </row>
    <row r="862" spans="2:19" ht="15">
      <c r="B862" s="95">
        <f t="shared" si="73"/>
        <v>316</v>
      </c>
      <c r="C862" s="12"/>
      <c r="D862" s="12"/>
      <c r="E862" s="12">
        <v>11</v>
      </c>
      <c r="F862" s="35"/>
      <c r="G862" s="43"/>
      <c r="H862" s="12" t="s">
        <v>9</v>
      </c>
      <c r="I862" s="82">
        <f>I863+I864+I865+I872+I873+I874+I875+I884+I885</f>
        <v>1659087</v>
      </c>
      <c r="J862" s="82">
        <f>J863+J864+J865+J872+J873+J874+J875+J884+J885+J886</f>
        <v>645950</v>
      </c>
      <c r="K862" s="190">
        <f t="shared" si="68"/>
        <v>38.93406433779543</v>
      </c>
      <c r="L862" s="182"/>
      <c r="M862" s="82"/>
      <c r="N862" s="82"/>
      <c r="O862" s="189"/>
      <c r="P862" s="182"/>
      <c r="Q862" s="82">
        <f t="shared" si="69"/>
        <v>1659087</v>
      </c>
      <c r="R862" s="82">
        <f t="shared" si="70"/>
        <v>645950</v>
      </c>
      <c r="S862" s="188">
        <f t="shared" si="71"/>
        <v>38.93406433779543</v>
      </c>
    </row>
    <row r="863" spans="2:19" ht="12.75">
      <c r="B863" s="95">
        <f t="shared" si="73"/>
        <v>317</v>
      </c>
      <c r="C863" s="3"/>
      <c r="D863" s="3"/>
      <c r="E863" s="3"/>
      <c r="F863" s="92" t="s">
        <v>123</v>
      </c>
      <c r="G863" s="93">
        <v>610</v>
      </c>
      <c r="H863" s="3" t="s">
        <v>134</v>
      </c>
      <c r="I863" s="70">
        <f>241678+137503</f>
        <v>379181</v>
      </c>
      <c r="J863" s="70">
        <v>140646</v>
      </c>
      <c r="K863" s="190">
        <f t="shared" si="68"/>
        <v>37.09204838850047</v>
      </c>
      <c r="L863" s="177"/>
      <c r="M863" s="70"/>
      <c r="N863" s="70"/>
      <c r="O863" s="189"/>
      <c r="P863" s="177"/>
      <c r="Q863" s="70">
        <f t="shared" si="69"/>
        <v>379181</v>
      </c>
      <c r="R863" s="70">
        <f t="shared" si="70"/>
        <v>140646</v>
      </c>
      <c r="S863" s="188">
        <f t="shared" si="71"/>
        <v>37.09204838850047</v>
      </c>
    </row>
    <row r="864" spans="2:19" ht="12.75">
      <c r="B864" s="95">
        <f t="shared" si="73"/>
        <v>318</v>
      </c>
      <c r="C864" s="3"/>
      <c r="D864" s="3"/>
      <c r="E864" s="3"/>
      <c r="F864" s="92" t="s">
        <v>123</v>
      </c>
      <c r="G864" s="93">
        <v>620</v>
      </c>
      <c r="H864" s="3" t="s">
        <v>128</v>
      </c>
      <c r="I864" s="70">
        <f>84580+48122</f>
        <v>132702</v>
      </c>
      <c r="J864" s="70">
        <v>42607</v>
      </c>
      <c r="K864" s="190">
        <f t="shared" si="68"/>
        <v>32.107277961146025</v>
      </c>
      <c r="L864" s="177"/>
      <c r="M864" s="70"/>
      <c r="N864" s="70"/>
      <c r="O864" s="189"/>
      <c r="P864" s="177"/>
      <c r="Q864" s="70">
        <f t="shared" si="69"/>
        <v>132702</v>
      </c>
      <c r="R864" s="70">
        <f t="shared" si="70"/>
        <v>42607</v>
      </c>
      <c r="S864" s="188">
        <f t="shared" si="71"/>
        <v>32.107277961146025</v>
      </c>
    </row>
    <row r="865" spans="2:19" ht="12.75">
      <c r="B865" s="95">
        <f t="shared" si="73"/>
        <v>319</v>
      </c>
      <c r="C865" s="3"/>
      <c r="D865" s="3"/>
      <c r="E865" s="3"/>
      <c r="F865" s="92" t="s">
        <v>123</v>
      </c>
      <c r="G865" s="93">
        <v>630</v>
      </c>
      <c r="H865" s="3" t="s">
        <v>125</v>
      </c>
      <c r="I865" s="70">
        <f>SUM(I866:I871)</f>
        <v>67350</v>
      </c>
      <c r="J865" s="72">
        <f>SUM(J866:J871)</f>
        <v>40874</v>
      </c>
      <c r="K865" s="190">
        <f t="shared" si="68"/>
        <v>60.68893838158872</v>
      </c>
      <c r="L865" s="177"/>
      <c r="M865" s="70"/>
      <c r="N865" s="70"/>
      <c r="O865" s="189"/>
      <c r="P865" s="177"/>
      <c r="Q865" s="70">
        <f t="shared" si="69"/>
        <v>67350</v>
      </c>
      <c r="R865" s="70">
        <f t="shared" si="70"/>
        <v>40874</v>
      </c>
      <c r="S865" s="188">
        <f t="shared" si="71"/>
        <v>60.68893838158872</v>
      </c>
    </row>
    <row r="866" spans="2:19" ht="12.75">
      <c r="B866" s="95">
        <f t="shared" si="73"/>
        <v>320</v>
      </c>
      <c r="C866" s="4"/>
      <c r="D866" s="4"/>
      <c r="E866" s="4"/>
      <c r="F866" s="32" t="s">
        <v>123</v>
      </c>
      <c r="G866" s="41">
        <v>631</v>
      </c>
      <c r="H866" s="4" t="s">
        <v>131</v>
      </c>
      <c r="I866" s="71">
        <v>17</v>
      </c>
      <c r="J866" s="164">
        <v>30</v>
      </c>
      <c r="K866" s="190">
        <f t="shared" si="68"/>
        <v>176.47058823529412</v>
      </c>
      <c r="L866" s="178"/>
      <c r="M866" s="71"/>
      <c r="N866" s="71"/>
      <c r="O866" s="189"/>
      <c r="P866" s="178"/>
      <c r="Q866" s="71">
        <f t="shared" si="69"/>
        <v>17</v>
      </c>
      <c r="R866" s="71">
        <f t="shared" si="70"/>
        <v>30</v>
      </c>
      <c r="S866" s="188">
        <f t="shared" si="71"/>
        <v>176.47058823529412</v>
      </c>
    </row>
    <row r="867" spans="2:19" ht="12.75">
      <c r="B867" s="95">
        <f t="shared" si="73"/>
        <v>321</v>
      </c>
      <c r="C867" s="4"/>
      <c r="D867" s="4"/>
      <c r="E867" s="4"/>
      <c r="F867" s="32" t="s">
        <v>123</v>
      </c>
      <c r="G867" s="41">
        <v>632</v>
      </c>
      <c r="H867" s="4" t="s">
        <v>138</v>
      </c>
      <c r="I867" s="71">
        <f>15172-3591</f>
        <v>11581</v>
      </c>
      <c r="J867" s="164">
        <v>15190</v>
      </c>
      <c r="K867" s="190">
        <f t="shared" si="68"/>
        <v>131.16311199378293</v>
      </c>
      <c r="L867" s="178"/>
      <c r="M867" s="71"/>
      <c r="N867" s="71"/>
      <c r="O867" s="189"/>
      <c r="P867" s="178"/>
      <c r="Q867" s="71">
        <f t="shared" si="69"/>
        <v>11581</v>
      </c>
      <c r="R867" s="71">
        <f t="shared" si="70"/>
        <v>15190</v>
      </c>
      <c r="S867" s="188">
        <f t="shared" si="71"/>
        <v>131.16311199378293</v>
      </c>
    </row>
    <row r="868" spans="2:19" ht="12.75">
      <c r="B868" s="95">
        <f t="shared" si="73"/>
        <v>322</v>
      </c>
      <c r="C868" s="4"/>
      <c r="D868" s="4"/>
      <c r="E868" s="4"/>
      <c r="F868" s="32" t="s">
        <v>123</v>
      </c>
      <c r="G868" s="41">
        <v>633</v>
      </c>
      <c r="H868" s="4" t="s">
        <v>129</v>
      </c>
      <c r="I868" s="71">
        <v>18030</v>
      </c>
      <c r="J868" s="164">
        <v>7096</v>
      </c>
      <c r="K868" s="190">
        <f t="shared" si="68"/>
        <v>39.35662784248475</v>
      </c>
      <c r="L868" s="178"/>
      <c r="M868" s="71"/>
      <c r="N868" s="71"/>
      <c r="O868" s="189"/>
      <c r="P868" s="178"/>
      <c r="Q868" s="71">
        <f t="shared" si="69"/>
        <v>18030</v>
      </c>
      <c r="R868" s="71">
        <f t="shared" si="70"/>
        <v>7096</v>
      </c>
      <c r="S868" s="188">
        <f t="shared" si="71"/>
        <v>39.35662784248475</v>
      </c>
    </row>
    <row r="869" spans="2:19" ht="12.75">
      <c r="B869" s="95">
        <f t="shared" si="73"/>
        <v>323</v>
      </c>
      <c r="C869" s="4"/>
      <c r="D869" s="4"/>
      <c r="E869" s="4"/>
      <c r="F869" s="32" t="s">
        <v>123</v>
      </c>
      <c r="G869" s="41">
        <v>635</v>
      </c>
      <c r="H869" s="4" t="s">
        <v>136</v>
      </c>
      <c r="I869" s="71">
        <v>12842</v>
      </c>
      <c r="J869" s="164">
        <v>2210</v>
      </c>
      <c r="K869" s="190">
        <f t="shared" si="68"/>
        <v>17.20915745211026</v>
      </c>
      <c r="L869" s="178"/>
      <c r="M869" s="71"/>
      <c r="N869" s="71"/>
      <c r="O869" s="189"/>
      <c r="P869" s="178"/>
      <c r="Q869" s="71">
        <f t="shared" si="69"/>
        <v>12842</v>
      </c>
      <c r="R869" s="71">
        <f t="shared" si="70"/>
        <v>2210</v>
      </c>
      <c r="S869" s="188">
        <f t="shared" si="71"/>
        <v>17.20915745211026</v>
      </c>
    </row>
    <row r="870" spans="2:19" ht="12.75">
      <c r="B870" s="95">
        <f t="shared" si="73"/>
        <v>324</v>
      </c>
      <c r="C870" s="4"/>
      <c r="D870" s="4"/>
      <c r="E870" s="4"/>
      <c r="F870" s="32" t="s">
        <v>123</v>
      </c>
      <c r="G870" s="41">
        <v>636</v>
      </c>
      <c r="H870" s="4" t="s">
        <v>130</v>
      </c>
      <c r="I870" s="71">
        <v>500</v>
      </c>
      <c r="J870" s="164">
        <v>802</v>
      </c>
      <c r="K870" s="190">
        <f aca="true" t="shared" si="75" ref="K870:K934">J870/I870*100</f>
        <v>160.4</v>
      </c>
      <c r="L870" s="178"/>
      <c r="M870" s="71"/>
      <c r="N870" s="71"/>
      <c r="O870" s="189"/>
      <c r="P870" s="178"/>
      <c r="Q870" s="71">
        <f aca="true" t="shared" si="76" ref="Q870:Q934">M870+I870</f>
        <v>500</v>
      </c>
      <c r="R870" s="71">
        <f aca="true" t="shared" si="77" ref="R870:R934">N870+J870</f>
        <v>802</v>
      </c>
      <c r="S870" s="188">
        <f aca="true" t="shared" si="78" ref="S870:S934">R870/Q870*100</f>
        <v>160.4</v>
      </c>
    </row>
    <row r="871" spans="2:19" ht="12.75">
      <c r="B871" s="95">
        <f t="shared" si="73"/>
        <v>325</v>
      </c>
      <c r="C871" s="4"/>
      <c r="D871" s="4"/>
      <c r="E871" s="4"/>
      <c r="F871" s="32" t="s">
        <v>123</v>
      </c>
      <c r="G871" s="41">
        <v>637</v>
      </c>
      <c r="H871" s="4" t="s">
        <v>126</v>
      </c>
      <c r="I871" s="71">
        <v>24380</v>
      </c>
      <c r="J871" s="164">
        <v>15546</v>
      </c>
      <c r="K871" s="190">
        <f t="shared" si="75"/>
        <v>63.76538146021329</v>
      </c>
      <c r="L871" s="178"/>
      <c r="M871" s="71"/>
      <c r="N871" s="71"/>
      <c r="O871" s="189"/>
      <c r="P871" s="178"/>
      <c r="Q871" s="71">
        <f t="shared" si="76"/>
        <v>24380</v>
      </c>
      <c r="R871" s="71">
        <f t="shared" si="77"/>
        <v>15546</v>
      </c>
      <c r="S871" s="188">
        <f t="shared" si="78"/>
        <v>63.76538146021329</v>
      </c>
    </row>
    <row r="872" spans="2:19" ht="12.75">
      <c r="B872" s="95">
        <f aca="true" t="shared" si="79" ref="B872:B936">B871+1</f>
        <v>326</v>
      </c>
      <c r="C872" s="3"/>
      <c r="D872" s="3"/>
      <c r="E872" s="3"/>
      <c r="F872" s="92" t="s">
        <v>123</v>
      </c>
      <c r="G872" s="93">
        <v>640</v>
      </c>
      <c r="H872" s="3" t="s">
        <v>132</v>
      </c>
      <c r="I872" s="70">
        <f>1785-150</f>
        <v>1635</v>
      </c>
      <c r="J872" s="72">
        <v>470</v>
      </c>
      <c r="K872" s="190">
        <f t="shared" si="75"/>
        <v>28.74617737003058</v>
      </c>
      <c r="L872" s="177"/>
      <c r="M872" s="70"/>
      <c r="N872" s="70"/>
      <c r="O872" s="189"/>
      <c r="P872" s="177"/>
      <c r="Q872" s="70">
        <f t="shared" si="76"/>
        <v>1635</v>
      </c>
      <c r="R872" s="70">
        <f t="shared" si="77"/>
        <v>470</v>
      </c>
      <c r="S872" s="188">
        <f t="shared" si="78"/>
        <v>28.74617737003058</v>
      </c>
    </row>
    <row r="873" spans="2:19" ht="12.75">
      <c r="B873" s="95">
        <f t="shared" si="79"/>
        <v>327</v>
      </c>
      <c r="C873" s="3"/>
      <c r="D873" s="3"/>
      <c r="E873" s="3"/>
      <c r="F873" s="92" t="s">
        <v>109</v>
      </c>
      <c r="G873" s="93">
        <v>610</v>
      </c>
      <c r="H873" s="3" t="s">
        <v>134</v>
      </c>
      <c r="I873" s="70">
        <f>637666+1950</f>
        <v>639616</v>
      </c>
      <c r="J873" s="72">
        <v>262835</v>
      </c>
      <c r="K873" s="190">
        <f t="shared" si="75"/>
        <v>41.09262432459476</v>
      </c>
      <c r="L873" s="177"/>
      <c r="M873" s="70"/>
      <c r="N873" s="70"/>
      <c r="O873" s="189"/>
      <c r="P873" s="177"/>
      <c r="Q873" s="70">
        <f t="shared" si="76"/>
        <v>639616</v>
      </c>
      <c r="R873" s="70">
        <f t="shared" si="77"/>
        <v>262835</v>
      </c>
      <c r="S873" s="188">
        <f t="shared" si="78"/>
        <v>41.09262432459476</v>
      </c>
    </row>
    <row r="874" spans="2:19" ht="12.75">
      <c r="B874" s="95">
        <f t="shared" si="79"/>
        <v>328</v>
      </c>
      <c r="C874" s="3"/>
      <c r="D874" s="3"/>
      <c r="E874" s="3"/>
      <c r="F874" s="92" t="s">
        <v>109</v>
      </c>
      <c r="G874" s="93">
        <v>620</v>
      </c>
      <c r="H874" s="3" t="s">
        <v>128</v>
      </c>
      <c r="I874" s="70">
        <f>227943+681</f>
        <v>228624</v>
      </c>
      <c r="J874" s="72">
        <v>77756</v>
      </c>
      <c r="K874" s="190">
        <f t="shared" si="75"/>
        <v>34.01042760165162</v>
      </c>
      <c r="L874" s="177"/>
      <c r="M874" s="70"/>
      <c r="N874" s="70"/>
      <c r="O874" s="189"/>
      <c r="P874" s="177"/>
      <c r="Q874" s="70">
        <f t="shared" si="76"/>
        <v>228624</v>
      </c>
      <c r="R874" s="70">
        <f t="shared" si="77"/>
        <v>77756</v>
      </c>
      <c r="S874" s="188">
        <f t="shared" si="78"/>
        <v>34.01042760165162</v>
      </c>
    </row>
    <row r="875" spans="2:19" ht="12.75">
      <c r="B875" s="95">
        <f t="shared" si="79"/>
        <v>329</v>
      </c>
      <c r="C875" s="3"/>
      <c r="D875" s="3"/>
      <c r="E875" s="3"/>
      <c r="F875" s="92" t="s">
        <v>109</v>
      </c>
      <c r="G875" s="93">
        <v>630</v>
      </c>
      <c r="H875" s="3" t="s">
        <v>125</v>
      </c>
      <c r="I875" s="70">
        <f>SUM(I876:I883)</f>
        <v>191460</v>
      </c>
      <c r="J875" s="72">
        <f>SUM(J876:J883)</f>
        <v>67520</v>
      </c>
      <c r="K875" s="190">
        <f t="shared" si="75"/>
        <v>35.26585187506529</v>
      </c>
      <c r="L875" s="177"/>
      <c r="M875" s="70"/>
      <c r="N875" s="70"/>
      <c r="O875" s="189"/>
      <c r="P875" s="177"/>
      <c r="Q875" s="70">
        <f t="shared" si="76"/>
        <v>191460</v>
      </c>
      <c r="R875" s="70">
        <f t="shared" si="77"/>
        <v>67520</v>
      </c>
      <c r="S875" s="188">
        <f t="shared" si="78"/>
        <v>35.26585187506529</v>
      </c>
    </row>
    <row r="876" spans="2:19" ht="12.75">
      <c r="B876" s="95">
        <f t="shared" si="79"/>
        <v>330</v>
      </c>
      <c r="C876" s="4"/>
      <c r="D876" s="4"/>
      <c r="E876" s="4"/>
      <c r="F876" s="32" t="s">
        <v>109</v>
      </c>
      <c r="G876" s="41">
        <v>631</v>
      </c>
      <c r="H876" s="4" t="s">
        <v>131</v>
      </c>
      <c r="I876" s="71">
        <v>25</v>
      </c>
      <c r="J876" s="164">
        <v>0</v>
      </c>
      <c r="K876" s="190">
        <f t="shared" si="75"/>
        <v>0</v>
      </c>
      <c r="L876" s="178"/>
      <c r="M876" s="71"/>
      <c r="N876" s="71"/>
      <c r="O876" s="189"/>
      <c r="P876" s="178"/>
      <c r="Q876" s="71">
        <f t="shared" si="76"/>
        <v>25</v>
      </c>
      <c r="R876" s="71">
        <f t="shared" si="77"/>
        <v>0</v>
      </c>
      <c r="S876" s="188">
        <f t="shared" si="78"/>
        <v>0</v>
      </c>
    </row>
    <row r="877" spans="2:19" ht="12.75">
      <c r="B877" s="95">
        <f t="shared" si="79"/>
        <v>331</v>
      </c>
      <c r="C877" s="4"/>
      <c r="D877" s="4"/>
      <c r="E877" s="4"/>
      <c r="F877" s="32" t="s">
        <v>109</v>
      </c>
      <c r="G877" s="41">
        <v>632</v>
      </c>
      <c r="H877" s="4" t="s">
        <v>138</v>
      </c>
      <c r="I877" s="71">
        <v>66492</v>
      </c>
      <c r="J877" s="164">
        <f>43321-12258</f>
        <v>31063</v>
      </c>
      <c r="K877" s="190">
        <f t="shared" si="75"/>
        <v>46.71689827347651</v>
      </c>
      <c r="L877" s="178"/>
      <c r="M877" s="71"/>
      <c r="N877" s="71"/>
      <c r="O877" s="189"/>
      <c r="P877" s="178"/>
      <c r="Q877" s="71">
        <f t="shared" si="76"/>
        <v>66492</v>
      </c>
      <c r="R877" s="71">
        <f t="shared" si="77"/>
        <v>31063</v>
      </c>
      <c r="S877" s="188">
        <f t="shared" si="78"/>
        <v>46.71689827347651</v>
      </c>
    </row>
    <row r="878" spans="2:19" ht="12.75">
      <c r="B878" s="95">
        <f t="shared" si="79"/>
        <v>332</v>
      </c>
      <c r="C878" s="4"/>
      <c r="D878" s="4"/>
      <c r="E878" s="4"/>
      <c r="F878" s="32" t="s">
        <v>109</v>
      </c>
      <c r="G878" s="41">
        <v>633</v>
      </c>
      <c r="H878" s="4" t="s">
        <v>129</v>
      </c>
      <c r="I878" s="71">
        <f>39683-11632</f>
        <v>28051</v>
      </c>
      <c r="J878" s="164">
        <f>10293+666</f>
        <v>10959</v>
      </c>
      <c r="K878" s="190">
        <f t="shared" si="75"/>
        <v>39.06812591351467</v>
      </c>
      <c r="L878" s="178"/>
      <c r="M878" s="71"/>
      <c r="N878" s="71"/>
      <c r="O878" s="189"/>
      <c r="P878" s="178"/>
      <c r="Q878" s="71">
        <f t="shared" si="76"/>
        <v>28051</v>
      </c>
      <c r="R878" s="71">
        <f t="shared" si="77"/>
        <v>10959</v>
      </c>
      <c r="S878" s="188">
        <f t="shared" si="78"/>
        <v>39.06812591351467</v>
      </c>
    </row>
    <row r="879" spans="2:19" ht="12.75">
      <c r="B879" s="95">
        <f t="shared" si="79"/>
        <v>333</v>
      </c>
      <c r="C879" s="4"/>
      <c r="D879" s="4"/>
      <c r="E879" s="4"/>
      <c r="F879" s="32" t="s">
        <v>109</v>
      </c>
      <c r="G879" s="41">
        <v>634</v>
      </c>
      <c r="H879" s="4" t="s">
        <v>135</v>
      </c>
      <c r="I879" s="71">
        <v>1610</v>
      </c>
      <c r="J879" s="164">
        <v>1632</v>
      </c>
      <c r="K879" s="190">
        <f t="shared" si="75"/>
        <v>101.36645962732919</v>
      </c>
      <c r="L879" s="178"/>
      <c r="M879" s="71"/>
      <c r="N879" s="71"/>
      <c r="O879" s="189"/>
      <c r="P879" s="178"/>
      <c r="Q879" s="71">
        <f t="shared" si="76"/>
        <v>1610</v>
      </c>
      <c r="R879" s="71">
        <f t="shared" si="77"/>
        <v>1632</v>
      </c>
      <c r="S879" s="188">
        <f t="shared" si="78"/>
        <v>101.36645962732919</v>
      </c>
    </row>
    <row r="880" spans="2:19" ht="12.75">
      <c r="B880" s="95">
        <f t="shared" si="79"/>
        <v>334</v>
      </c>
      <c r="C880" s="4"/>
      <c r="D880" s="4"/>
      <c r="E880" s="4"/>
      <c r="F880" s="32" t="s">
        <v>109</v>
      </c>
      <c r="G880" s="41">
        <v>635</v>
      </c>
      <c r="H880" s="4" t="s">
        <v>136</v>
      </c>
      <c r="I880" s="71">
        <v>21676</v>
      </c>
      <c r="J880" s="164">
        <v>1941</v>
      </c>
      <c r="K880" s="190">
        <f t="shared" si="75"/>
        <v>8.954604170511164</v>
      </c>
      <c r="L880" s="178"/>
      <c r="M880" s="71"/>
      <c r="N880" s="71"/>
      <c r="O880" s="189"/>
      <c r="P880" s="178"/>
      <c r="Q880" s="71">
        <f t="shared" si="76"/>
        <v>21676</v>
      </c>
      <c r="R880" s="71">
        <f t="shared" si="77"/>
        <v>1941</v>
      </c>
      <c r="S880" s="188">
        <f t="shared" si="78"/>
        <v>8.954604170511164</v>
      </c>
    </row>
    <row r="881" spans="2:19" ht="12.75">
      <c r="B881" s="95">
        <f t="shared" si="79"/>
        <v>335</v>
      </c>
      <c r="C881" s="4"/>
      <c r="D881" s="4"/>
      <c r="E881" s="4"/>
      <c r="F881" s="32" t="s">
        <v>109</v>
      </c>
      <c r="G881" s="41">
        <v>636</v>
      </c>
      <c r="H881" s="4" t="s">
        <v>130</v>
      </c>
      <c r="I881" s="71">
        <v>700</v>
      </c>
      <c r="J881" s="164">
        <v>854</v>
      </c>
      <c r="K881" s="190">
        <f t="shared" si="75"/>
        <v>122</v>
      </c>
      <c r="L881" s="178"/>
      <c r="M881" s="71"/>
      <c r="N881" s="71"/>
      <c r="O881" s="189"/>
      <c r="P881" s="178"/>
      <c r="Q881" s="71">
        <f t="shared" si="76"/>
        <v>700</v>
      </c>
      <c r="R881" s="71">
        <f t="shared" si="77"/>
        <v>854</v>
      </c>
      <c r="S881" s="188">
        <f t="shared" si="78"/>
        <v>122</v>
      </c>
    </row>
    <row r="882" spans="2:19" ht="12.75">
      <c r="B882" s="95">
        <f t="shared" si="79"/>
        <v>336</v>
      </c>
      <c r="C882" s="4"/>
      <c r="D882" s="4"/>
      <c r="E882" s="4"/>
      <c r="F882" s="32" t="s">
        <v>109</v>
      </c>
      <c r="G882" s="41">
        <v>637</v>
      </c>
      <c r="H882" s="4" t="s">
        <v>126</v>
      </c>
      <c r="I882" s="71">
        <v>52556</v>
      </c>
      <c r="J882" s="164">
        <f>21343-272-115</f>
        <v>20956</v>
      </c>
      <c r="K882" s="190">
        <f t="shared" si="75"/>
        <v>39.87365857371185</v>
      </c>
      <c r="L882" s="178"/>
      <c r="M882" s="71"/>
      <c r="N882" s="71"/>
      <c r="O882" s="189"/>
      <c r="P882" s="178"/>
      <c r="Q882" s="71">
        <f t="shared" si="76"/>
        <v>52556</v>
      </c>
      <c r="R882" s="71">
        <f t="shared" si="77"/>
        <v>20956</v>
      </c>
      <c r="S882" s="188">
        <f t="shared" si="78"/>
        <v>39.87365857371185</v>
      </c>
    </row>
    <row r="883" spans="2:19" ht="12.75">
      <c r="B883" s="95">
        <f t="shared" si="79"/>
        <v>337</v>
      </c>
      <c r="C883" s="4"/>
      <c r="D883" s="4"/>
      <c r="E883" s="4"/>
      <c r="F883" s="32" t="s">
        <v>109</v>
      </c>
      <c r="G883" s="41">
        <v>637</v>
      </c>
      <c r="H883" s="4" t="s">
        <v>295</v>
      </c>
      <c r="I883" s="71">
        <v>20350</v>
      </c>
      <c r="J883" s="71">
        <v>115</v>
      </c>
      <c r="K883" s="190">
        <f t="shared" si="75"/>
        <v>0.5651105651105651</v>
      </c>
      <c r="L883" s="178"/>
      <c r="M883" s="71"/>
      <c r="N883" s="71"/>
      <c r="O883" s="189"/>
      <c r="P883" s="178"/>
      <c r="Q883" s="71">
        <f t="shared" si="76"/>
        <v>20350</v>
      </c>
      <c r="R883" s="71">
        <f t="shared" si="77"/>
        <v>115</v>
      </c>
      <c r="S883" s="188">
        <f t="shared" si="78"/>
        <v>0.5651105651105651</v>
      </c>
    </row>
    <row r="884" spans="2:19" ht="12.75">
      <c r="B884" s="95">
        <f t="shared" si="79"/>
        <v>338</v>
      </c>
      <c r="C884" s="3"/>
      <c r="D884" s="3"/>
      <c r="E884" s="3"/>
      <c r="F884" s="92" t="s">
        <v>109</v>
      </c>
      <c r="G884" s="93">
        <v>640</v>
      </c>
      <c r="H884" s="3" t="s">
        <v>132</v>
      </c>
      <c r="I884" s="70">
        <v>3865</v>
      </c>
      <c r="J884" s="70">
        <v>695</v>
      </c>
      <c r="K884" s="190">
        <f t="shared" si="75"/>
        <v>17.981888745148773</v>
      </c>
      <c r="L884" s="177"/>
      <c r="M884" s="70"/>
      <c r="N884" s="70"/>
      <c r="O884" s="189"/>
      <c r="P884" s="177"/>
      <c r="Q884" s="70">
        <f t="shared" si="76"/>
        <v>3865</v>
      </c>
      <c r="R884" s="70">
        <f t="shared" si="77"/>
        <v>695</v>
      </c>
      <c r="S884" s="188">
        <f t="shared" si="78"/>
        <v>17.981888745148773</v>
      </c>
    </row>
    <row r="885" spans="2:19" ht="12.75">
      <c r="B885" s="95">
        <f t="shared" si="79"/>
        <v>339</v>
      </c>
      <c r="C885" s="3"/>
      <c r="D885" s="3"/>
      <c r="E885" s="3"/>
      <c r="F885" s="92"/>
      <c r="G885" s="93">
        <v>630</v>
      </c>
      <c r="H885" s="3" t="s">
        <v>545</v>
      </c>
      <c r="I885" s="70">
        <v>14654</v>
      </c>
      <c r="J885" s="70">
        <v>12530</v>
      </c>
      <c r="K885" s="190">
        <f t="shared" si="75"/>
        <v>85.50566398253036</v>
      </c>
      <c r="L885" s="177"/>
      <c r="M885" s="70"/>
      <c r="N885" s="70"/>
      <c r="O885" s="189"/>
      <c r="P885" s="177"/>
      <c r="Q885" s="70">
        <f t="shared" si="76"/>
        <v>14654</v>
      </c>
      <c r="R885" s="70">
        <f t="shared" si="77"/>
        <v>12530</v>
      </c>
      <c r="S885" s="188">
        <f t="shared" si="78"/>
        <v>85.50566398253036</v>
      </c>
    </row>
    <row r="886" spans="2:19" ht="12.75">
      <c r="B886" s="95">
        <f t="shared" si="79"/>
        <v>340</v>
      </c>
      <c r="C886" s="3"/>
      <c r="D886" s="3"/>
      <c r="E886" s="3"/>
      <c r="F886" s="92" t="s">
        <v>74</v>
      </c>
      <c r="G886" s="93">
        <v>642</v>
      </c>
      <c r="H886" s="5" t="s">
        <v>587</v>
      </c>
      <c r="I886" s="70">
        <v>0</v>
      </c>
      <c r="J886" s="72">
        <v>17</v>
      </c>
      <c r="K886" s="190">
        <v>0</v>
      </c>
      <c r="L886" s="177"/>
      <c r="M886" s="70"/>
      <c r="N886" s="70"/>
      <c r="O886" s="189"/>
      <c r="P886" s="177"/>
      <c r="Q886" s="70">
        <f>M886+I886</f>
        <v>0</v>
      </c>
      <c r="R886" s="70">
        <f>N886+J886</f>
        <v>17</v>
      </c>
      <c r="S886" s="188">
        <v>0</v>
      </c>
    </row>
    <row r="887" spans="2:19" ht="15">
      <c r="B887" s="95">
        <f t="shared" si="79"/>
        <v>341</v>
      </c>
      <c r="C887" s="12"/>
      <c r="D887" s="12"/>
      <c r="E887" s="12">
        <v>12</v>
      </c>
      <c r="F887" s="35"/>
      <c r="G887" s="43"/>
      <c r="H887" s="12" t="s">
        <v>7</v>
      </c>
      <c r="I887" s="82">
        <f>I888+I889+I890+I897+I898+I899+I900+I908+I909</f>
        <v>1742911</v>
      </c>
      <c r="J887" s="82">
        <f>J888+J889+J890+J897+J898+J899+J900+J908+J909</f>
        <v>675340</v>
      </c>
      <c r="K887" s="190">
        <f t="shared" si="75"/>
        <v>38.74781902231382</v>
      </c>
      <c r="L887" s="182"/>
      <c r="M887" s="82"/>
      <c r="N887" s="82"/>
      <c r="O887" s="189"/>
      <c r="P887" s="182"/>
      <c r="Q887" s="82">
        <f t="shared" si="76"/>
        <v>1742911</v>
      </c>
      <c r="R887" s="82">
        <f t="shared" si="77"/>
        <v>675340</v>
      </c>
      <c r="S887" s="188">
        <f t="shared" si="78"/>
        <v>38.74781902231382</v>
      </c>
    </row>
    <row r="888" spans="2:19" ht="12.75">
      <c r="B888" s="95">
        <f t="shared" si="79"/>
        <v>342</v>
      </c>
      <c r="C888" s="3"/>
      <c r="D888" s="3"/>
      <c r="E888" s="3"/>
      <c r="F888" s="92" t="s">
        <v>123</v>
      </c>
      <c r="G888" s="93">
        <v>610</v>
      </c>
      <c r="H888" s="3" t="s">
        <v>134</v>
      </c>
      <c r="I888" s="70">
        <f>505580-13000</f>
        <v>492580</v>
      </c>
      <c r="J888" s="70">
        <v>392727</v>
      </c>
      <c r="K888" s="190">
        <f t="shared" si="75"/>
        <v>79.72857200860773</v>
      </c>
      <c r="L888" s="177"/>
      <c r="M888" s="70"/>
      <c r="N888" s="70"/>
      <c r="O888" s="189"/>
      <c r="P888" s="177"/>
      <c r="Q888" s="70">
        <f t="shared" si="76"/>
        <v>492580</v>
      </c>
      <c r="R888" s="70">
        <f t="shared" si="77"/>
        <v>392727</v>
      </c>
      <c r="S888" s="188">
        <f t="shared" si="78"/>
        <v>79.72857200860773</v>
      </c>
    </row>
    <row r="889" spans="2:19" ht="12.75">
      <c r="B889" s="95">
        <f t="shared" si="79"/>
        <v>343</v>
      </c>
      <c r="C889" s="3"/>
      <c r="D889" s="3"/>
      <c r="E889" s="3"/>
      <c r="F889" s="92" t="s">
        <v>123</v>
      </c>
      <c r="G889" s="93">
        <v>620</v>
      </c>
      <c r="H889" s="3" t="s">
        <v>128</v>
      </c>
      <c r="I889" s="70">
        <f>215530-4753</f>
        <v>210777</v>
      </c>
      <c r="J889" s="70">
        <v>136130</v>
      </c>
      <c r="K889" s="190">
        <f t="shared" si="75"/>
        <v>64.58484559510762</v>
      </c>
      <c r="L889" s="177"/>
      <c r="M889" s="70"/>
      <c r="N889" s="70"/>
      <c r="O889" s="189"/>
      <c r="P889" s="177"/>
      <c r="Q889" s="70">
        <f t="shared" si="76"/>
        <v>210777</v>
      </c>
      <c r="R889" s="70">
        <f t="shared" si="77"/>
        <v>136130</v>
      </c>
      <c r="S889" s="188">
        <f t="shared" si="78"/>
        <v>64.58484559510762</v>
      </c>
    </row>
    <row r="890" spans="2:19" ht="12.75">
      <c r="B890" s="95">
        <f t="shared" si="79"/>
        <v>344</v>
      </c>
      <c r="C890" s="3"/>
      <c r="D890" s="3"/>
      <c r="E890" s="3"/>
      <c r="F890" s="92" t="s">
        <v>123</v>
      </c>
      <c r="G890" s="93">
        <v>630</v>
      </c>
      <c r="H890" s="3" t="s">
        <v>125</v>
      </c>
      <c r="I890" s="70">
        <f>SUM(I891:I896)</f>
        <v>68090</v>
      </c>
      <c r="J890" s="70">
        <f>SUM(J891:J896)</f>
        <v>56681</v>
      </c>
      <c r="K890" s="190">
        <f t="shared" si="75"/>
        <v>83.24423557056836</v>
      </c>
      <c r="L890" s="177"/>
      <c r="M890" s="70"/>
      <c r="N890" s="70"/>
      <c r="O890" s="189"/>
      <c r="P890" s="177"/>
      <c r="Q890" s="70">
        <f t="shared" si="76"/>
        <v>68090</v>
      </c>
      <c r="R890" s="70">
        <f t="shared" si="77"/>
        <v>56681</v>
      </c>
      <c r="S890" s="188">
        <f t="shared" si="78"/>
        <v>83.24423557056836</v>
      </c>
    </row>
    <row r="891" spans="2:19" ht="12.75">
      <c r="B891" s="95">
        <f t="shared" si="79"/>
        <v>345</v>
      </c>
      <c r="C891" s="4"/>
      <c r="D891" s="4"/>
      <c r="E891" s="4"/>
      <c r="F891" s="32" t="s">
        <v>123</v>
      </c>
      <c r="G891" s="41">
        <v>631</v>
      </c>
      <c r="H891" s="4" t="s">
        <v>131</v>
      </c>
      <c r="I891" s="71">
        <v>1370</v>
      </c>
      <c r="J891" s="71">
        <v>21</v>
      </c>
      <c r="K891" s="190">
        <f t="shared" si="75"/>
        <v>1.532846715328467</v>
      </c>
      <c r="L891" s="178"/>
      <c r="M891" s="71"/>
      <c r="N891" s="71"/>
      <c r="O891" s="189"/>
      <c r="P891" s="178"/>
      <c r="Q891" s="71">
        <f t="shared" si="76"/>
        <v>1370</v>
      </c>
      <c r="R891" s="71">
        <f t="shared" si="77"/>
        <v>21</v>
      </c>
      <c r="S891" s="188">
        <f t="shared" si="78"/>
        <v>1.532846715328467</v>
      </c>
    </row>
    <row r="892" spans="2:19" ht="12.75">
      <c r="B892" s="95">
        <f t="shared" si="79"/>
        <v>346</v>
      </c>
      <c r="C892" s="4"/>
      <c r="D892" s="4"/>
      <c r="E892" s="4"/>
      <c r="F892" s="32" t="s">
        <v>123</v>
      </c>
      <c r="G892" s="41">
        <v>632</v>
      </c>
      <c r="H892" s="4" t="s">
        <v>138</v>
      </c>
      <c r="I892" s="71">
        <v>28000</v>
      </c>
      <c r="J892" s="71">
        <v>25857</v>
      </c>
      <c r="K892" s="190">
        <f t="shared" si="75"/>
        <v>92.34642857142858</v>
      </c>
      <c r="L892" s="178"/>
      <c r="M892" s="71"/>
      <c r="N892" s="71"/>
      <c r="O892" s="189"/>
      <c r="P892" s="178"/>
      <c r="Q892" s="71">
        <f t="shared" si="76"/>
        <v>28000</v>
      </c>
      <c r="R892" s="71">
        <f t="shared" si="77"/>
        <v>25857</v>
      </c>
      <c r="S892" s="188">
        <f t="shared" si="78"/>
        <v>92.34642857142858</v>
      </c>
    </row>
    <row r="893" spans="2:19" ht="12.75">
      <c r="B893" s="95">
        <f t="shared" si="79"/>
        <v>347</v>
      </c>
      <c r="C893" s="4"/>
      <c r="D893" s="4"/>
      <c r="E893" s="4"/>
      <c r="F893" s="32" t="s">
        <v>123</v>
      </c>
      <c r="G893" s="41">
        <v>633</v>
      </c>
      <c r="H893" s="4" t="s">
        <v>129</v>
      </c>
      <c r="I893" s="71">
        <v>10380</v>
      </c>
      <c r="J893" s="71">
        <v>6916</v>
      </c>
      <c r="K893" s="190">
        <f t="shared" si="75"/>
        <v>66.6281310211946</v>
      </c>
      <c r="L893" s="178"/>
      <c r="M893" s="71"/>
      <c r="N893" s="71"/>
      <c r="O893" s="189"/>
      <c r="P893" s="178"/>
      <c r="Q893" s="71">
        <f t="shared" si="76"/>
        <v>10380</v>
      </c>
      <c r="R893" s="71">
        <f t="shared" si="77"/>
        <v>6916</v>
      </c>
      <c r="S893" s="188">
        <f t="shared" si="78"/>
        <v>66.6281310211946</v>
      </c>
    </row>
    <row r="894" spans="2:19" ht="12.75">
      <c r="B894" s="95">
        <f t="shared" si="79"/>
        <v>348</v>
      </c>
      <c r="C894" s="4"/>
      <c r="D894" s="4"/>
      <c r="E894" s="4"/>
      <c r="F894" s="32" t="s">
        <v>123</v>
      </c>
      <c r="G894" s="41">
        <v>635</v>
      </c>
      <c r="H894" s="4" t="s">
        <v>136</v>
      </c>
      <c r="I894" s="71">
        <v>13200</v>
      </c>
      <c r="J894" s="71">
        <v>10330</v>
      </c>
      <c r="K894" s="190">
        <f t="shared" si="75"/>
        <v>78.25757575757576</v>
      </c>
      <c r="L894" s="178"/>
      <c r="M894" s="71"/>
      <c r="N894" s="71"/>
      <c r="O894" s="189"/>
      <c r="P894" s="178"/>
      <c r="Q894" s="71">
        <f t="shared" si="76"/>
        <v>13200</v>
      </c>
      <c r="R894" s="71">
        <f t="shared" si="77"/>
        <v>10330</v>
      </c>
      <c r="S894" s="188">
        <f t="shared" si="78"/>
        <v>78.25757575757576</v>
      </c>
    </row>
    <row r="895" spans="2:19" ht="12.75">
      <c r="B895" s="95">
        <f t="shared" si="79"/>
        <v>349</v>
      </c>
      <c r="C895" s="4"/>
      <c r="D895" s="4"/>
      <c r="E895" s="4"/>
      <c r="F895" s="32" t="s">
        <v>123</v>
      </c>
      <c r="G895" s="41">
        <v>636</v>
      </c>
      <c r="H895" s="4" t="s">
        <v>130</v>
      </c>
      <c r="I895" s="71">
        <v>2600</v>
      </c>
      <c r="J895" s="71">
        <v>2600</v>
      </c>
      <c r="K895" s="190">
        <f t="shared" si="75"/>
        <v>100</v>
      </c>
      <c r="L895" s="178"/>
      <c r="M895" s="71"/>
      <c r="N895" s="71"/>
      <c r="O895" s="189"/>
      <c r="P895" s="178"/>
      <c r="Q895" s="71">
        <f t="shared" si="76"/>
        <v>2600</v>
      </c>
      <c r="R895" s="71">
        <f t="shared" si="77"/>
        <v>2600</v>
      </c>
      <c r="S895" s="188">
        <f t="shared" si="78"/>
        <v>100</v>
      </c>
    </row>
    <row r="896" spans="2:19" ht="12.75">
      <c r="B896" s="95">
        <f t="shared" si="79"/>
        <v>350</v>
      </c>
      <c r="C896" s="4"/>
      <c r="D896" s="4"/>
      <c r="E896" s="4"/>
      <c r="F896" s="32" t="s">
        <v>123</v>
      </c>
      <c r="G896" s="41">
        <v>637</v>
      </c>
      <c r="H896" s="4" t="s">
        <v>126</v>
      </c>
      <c r="I896" s="71">
        <v>12540</v>
      </c>
      <c r="J896" s="71">
        <v>10957</v>
      </c>
      <c r="K896" s="190">
        <f t="shared" si="75"/>
        <v>87.37639553429027</v>
      </c>
      <c r="L896" s="178"/>
      <c r="M896" s="71"/>
      <c r="N896" s="71"/>
      <c r="O896" s="189"/>
      <c r="P896" s="178"/>
      <c r="Q896" s="71">
        <f t="shared" si="76"/>
        <v>12540</v>
      </c>
      <c r="R896" s="71">
        <f t="shared" si="77"/>
        <v>10957</v>
      </c>
      <c r="S896" s="188">
        <f t="shared" si="78"/>
        <v>87.37639553429027</v>
      </c>
    </row>
    <row r="897" spans="2:19" ht="12.75">
      <c r="B897" s="95">
        <f t="shared" si="79"/>
        <v>351</v>
      </c>
      <c r="C897" s="3"/>
      <c r="D897" s="3"/>
      <c r="E897" s="3"/>
      <c r="F897" s="92" t="s">
        <v>123</v>
      </c>
      <c r="G897" s="93">
        <v>640</v>
      </c>
      <c r="H897" s="3" t="s">
        <v>132</v>
      </c>
      <c r="I897" s="70">
        <v>13600</v>
      </c>
      <c r="J897" s="70">
        <v>7427</v>
      </c>
      <c r="K897" s="190">
        <f t="shared" si="75"/>
        <v>54.610294117647065</v>
      </c>
      <c r="L897" s="177"/>
      <c r="M897" s="70"/>
      <c r="N897" s="70"/>
      <c r="O897" s="189"/>
      <c r="P897" s="177"/>
      <c r="Q897" s="70">
        <f t="shared" si="76"/>
        <v>13600</v>
      </c>
      <c r="R897" s="70">
        <f t="shared" si="77"/>
        <v>7427</v>
      </c>
      <c r="S897" s="188">
        <f t="shared" si="78"/>
        <v>54.610294117647065</v>
      </c>
    </row>
    <row r="898" spans="2:19" ht="12.75">
      <c r="B898" s="95">
        <f t="shared" si="79"/>
        <v>352</v>
      </c>
      <c r="C898" s="3"/>
      <c r="D898" s="3"/>
      <c r="E898" s="3"/>
      <c r="F898" s="92" t="s">
        <v>109</v>
      </c>
      <c r="G898" s="93">
        <v>610</v>
      </c>
      <c r="H898" s="3" t="s">
        <v>134</v>
      </c>
      <c r="I898" s="70">
        <f>557080+50+3900</f>
        <v>561030</v>
      </c>
      <c r="J898" s="70">
        <v>18887</v>
      </c>
      <c r="K898" s="190">
        <f t="shared" si="75"/>
        <v>3.366486640643103</v>
      </c>
      <c r="L898" s="177"/>
      <c r="M898" s="70"/>
      <c r="N898" s="70"/>
      <c r="O898" s="189"/>
      <c r="P898" s="177"/>
      <c r="Q898" s="70">
        <f t="shared" si="76"/>
        <v>561030</v>
      </c>
      <c r="R898" s="70">
        <f t="shared" si="77"/>
        <v>18887</v>
      </c>
      <c r="S898" s="188">
        <f t="shared" si="78"/>
        <v>3.366486640643103</v>
      </c>
    </row>
    <row r="899" spans="2:19" ht="12.75">
      <c r="B899" s="95">
        <f t="shared" si="79"/>
        <v>353</v>
      </c>
      <c r="C899" s="3"/>
      <c r="D899" s="3"/>
      <c r="E899" s="3"/>
      <c r="F899" s="92" t="s">
        <v>109</v>
      </c>
      <c r="G899" s="93">
        <v>620</v>
      </c>
      <c r="H899" s="3" t="s">
        <v>128</v>
      </c>
      <c r="I899" s="70">
        <f>203600+10+1365</f>
        <v>204975</v>
      </c>
      <c r="J899" s="70">
        <v>6505</v>
      </c>
      <c r="K899" s="190">
        <f t="shared" si="75"/>
        <v>3.173557750945237</v>
      </c>
      <c r="L899" s="177"/>
      <c r="M899" s="70"/>
      <c r="N899" s="70"/>
      <c r="O899" s="189"/>
      <c r="P899" s="177"/>
      <c r="Q899" s="70">
        <f t="shared" si="76"/>
        <v>204975</v>
      </c>
      <c r="R899" s="70">
        <f t="shared" si="77"/>
        <v>6505</v>
      </c>
      <c r="S899" s="188">
        <f t="shared" si="78"/>
        <v>3.173557750945237</v>
      </c>
    </row>
    <row r="900" spans="2:19" ht="12.75">
      <c r="B900" s="95">
        <f t="shared" si="79"/>
        <v>354</v>
      </c>
      <c r="C900" s="3"/>
      <c r="D900" s="3"/>
      <c r="E900" s="3"/>
      <c r="F900" s="92" t="s">
        <v>109</v>
      </c>
      <c r="G900" s="93">
        <v>630</v>
      </c>
      <c r="H900" s="3" t="s">
        <v>125</v>
      </c>
      <c r="I900" s="70">
        <f>SUM(I901:I907)</f>
        <v>168838</v>
      </c>
      <c r="J900" s="70">
        <f>SUM(J901:J907)</f>
        <v>56014</v>
      </c>
      <c r="K900" s="190">
        <f t="shared" si="75"/>
        <v>33.17618071761096</v>
      </c>
      <c r="L900" s="177"/>
      <c r="M900" s="70"/>
      <c r="N900" s="70"/>
      <c r="O900" s="189"/>
      <c r="P900" s="177"/>
      <c r="Q900" s="70">
        <f t="shared" si="76"/>
        <v>168838</v>
      </c>
      <c r="R900" s="70">
        <f t="shared" si="77"/>
        <v>56014</v>
      </c>
      <c r="S900" s="188">
        <f t="shared" si="78"/>
        <v>33.17618071761096</v>
      </c>
    </row>
    <row r="901" spans="2:19" ht="12.75">
      <c r="B901" s="95">
        <f t="shared" si="79"/>
        <v>355</v>
      </c>
      <c r="C901" s="4"/>
      <c r="D901" s="4"/>
      <c r="E901" s="4"/>
      <c r="F901" s="32" t="s">
        <v>109</v>
      </c>
      <c r="G901" s="41">
        <v>631</v>
      </c>
      <c r="H901" s="4" t="s">
        <v>131</v>
      </c>
      <c r="I901" s="71">
        <v>600</v>
      </c>
      <c r="J901" s="71">
        <v>90</v>
      </c>
      <c r="K901" s="190">
        <f t="shared" si="75"/>
        <v>15</v>
      </c>
      <c r="L901" s="178"/>
      <c r="M901" s="71"/>
      <c r="N901" s="71"/>
      <c r="O901" s="189"/>
      <c r="P901" s="178"/>
      <c r="Q901" s="71">
        <f t="shared" si="76"/>
        <v>600</v>
      </c>
      <c r="R901" s="71">
        <f t="shared" si="77"/>
        <v>90</v>
      </c>
      <c r="S901" s="188">
        <f t="shared" si="78"/>
        <v>15</v>
      </c>
    </row>
    <row r="902" spans="2:19" ht="12.75">
      <c r="B902" s="95">
        <f t="shared" si="79"/>
        <v>356</v>
      </c>
      <c r="C902" s="4"/>
      <c r="D902" s="4"/>
      <c r="E902" s="4"/>
      <c r="F902" s="32" t="s">
        <v>109</v>
      </c>
      <c r="G902" s="41">
        <v>632</v>
      </c>
      <c r="H902" s="4" t="s">
        <v>138</v>
      </c>
      <c r="I902" s="71">
        <v>28000</v>
      </c>
      <c r="J902" s="71">
        <v>4743</v>
      </c>
      <c r="K902" s="190">
        <f t="shared" si="75"/>
        <v>16.939285714285717</v>
      </c>
      <c r="L902" s="178"/>
      <c r="M902" s="71"/>
      <c r="N902" s="71"/>
      <c r="O902" s="189"/>
      <c r="P902" s="178"/>
      <c r="Q902" s="71">
        <f t="shared" si="76"/>
        <v>28000</v>
      </c>
      <c r="R902" s="71">
        <f t="shared" si="77"/>
        <v>4743</v>
      </c>
      <c r="S902" s="188">
        <f t="shared" si="78"/>
        <v>16.939285714285717</v>
      </c>
    </row>
    <row r="903" spans="2:19" ht="12.75">
      <c r="B903" s="95">
        <f t="shared" si="79"/>
        <v>357</v>
      </c>
      <c r="C903" s="4"/>
      <c r="D903" s="4"/>
      <c r="E903" s="4"/>
      <c r="F903" s="32" t="s">
        <v>109</v>
      </c>
      <c r="G903" s="41">
        <v>633</v>
      </c>
      <c r="H903" s="4" t="s">
        <v>129</v>
      </c>
      <c r="I903" s="71">
        <f>35360-11472</f>
        <v>23888</v>
      </c>
      <c r="J903" s="71">
        <v>2897</v>
      </c>
      <c r="K903" s="190">
        <f t="shared" si="75"/>
        <v>12.127427997320831</v>
      </c>
      <c r="L903" s="178"/>
      <c r="M903" s="71"/>
      <c r="N903" s="71"/>
      <c r="O903" s="189"/>
      <c r="P903" s="178"/>
      <c r="Q903" s="71">
        <f t="shared" si="76"/>
        <v>23888</v>
      </c>
      <c r="R903" s="71">
        <f t="shared" si="77"/>
        <v>2897</v>
      </c>
      <c r="S903" s="188">
        <f t="shared" si="78"/>
        <v>12.127427997320831</v>
      </c>
    </row>
    <row r="904" spans="2:19" ht="12.75">
      <c r="B904" s="95">
        <f t="shared" si="79"/>
        <v>358</v>
      </c>
      <c r="C904" s="4"/>
      <c r="D904" s="4"/>
      <c r="E904" s="4"/>
      <c r="F904" s="32" t="s">
        <v>109</v>
      </c>
      <c r="G904" s="41">
        <v>635</v>
      </c>
      <c r="H904" s="4" t="s">
        <v>136</v>
      </c>
      <c r="I904" s="71">
        <v>59300</v>
      </c>
      <c r="J904" s="71">
        <v>18433</v>
      </c>
      <c r="K904" s="190">
        <f t="shared" si="75"/>
        <v>31.08431703204047</v>
      </c>
      <c r="L904" s="178"/>
      <c r="M904" s="71"/>
      <c r="N904" s="71"/>
      <c r="O904" s="189"/>
      <c r="P904" s="178"/>
      <c r="Q904" s="71">
        <f t="shared" si="76"/>
        <v>59300</v>
      </c>
      <c r="R904" s="71">
        <f t="shared" si="77"/>
        <v>18433</v>
      </c>
      <c r="S904" s="188">
        <f t="shared" si="78"/>
        <v>31.08431703204047</v>
      </c>
    </row>
    <row r="905" spans="2:19" ht="12.75">
      <c r="B905" s="95">
        <f t="shared" si="79"/>
        <v>359</v>
      </c>
      <c r="C905" s="4"/>
      <c r="D905" s="4"/>
      <c r="E905" s="4"/>
      <c r="F905" s="32" t="s">
        <v>109</v>
      </c>
      <c r="G905" s="41">
        <v>636</v>
      </c>
      <c r="H905" s="4" t="s">
        <v>130</v>
      </c>
      <c r="I905" s="71">
        <v>3600</v>
      </c>
      <c r="J905" s="71">
        <v>392</v>
      </c>
      <c r="K905" s="190">
        <f t="shared" si="75"/>
        <v>10.888888888888888</v>
      </c>
      <c r="L905" s="178"/>
      <c r="M905" s="71"/>
      <c r="N905" s="71"/>
      <c r="O905" s="189"/>
      <c r="P905" s="178"/>
      <c r="Q905" s="71">
        <f t="shared" si="76"/>
        <v>3600</v>
      </c>
      <c r="R905" s="71">
        <f t="shared" si="77"/>
        <v>392</v>
      </c>
      <c r="S905" s="188">
        <f t="shared" si="78"/>
        <v>10.888888888888888</v>
      </c>
    </row>
    <row r="906" spans="2:19" ht="12.75">
      <c r="B906" s="95">
        <f t="shared" si="79"/>
        <v>360</v>
      </c>
      <c r="C906" s="4"/>
      <c r="D906" s="4"/>
      <c r="E906" s="4"/>
      <c r="F906" s="32" t="s">
        <v>109</v>
      </c>
      <c r="G906" s="41">
        <v>637</v>
      </c>
      <c r="H906" s="4" t="s">
        <v>126</v>
      </c>
      <c r="I906" s="71">
        <v>34200</v>
      </c>
      <c r="J906" s="71">
        <v>29347</v>
      </c>
      <c r="K906" s="190">
        <f t="shared" si="75"/>
        <v>85.80994152046783</v>
      </c>
      <c r="L906" s="178"/>
      <c r="M906" s="71"/>
      <c r="N906" s="71"/>
      <c r="O906" s="189"/>
      <c r="P906" s="178"/>
      <c r="Q906" s="71">
        <f t="shared" si="76"/>
        <v>34200</v>
      </c>
      <c r="R906" s="71">
        <f t="shared" si="77"/>
        <v>29347</v>
      </c>
      <c r="S906" s="188">
        <f t="shared" si="78"/>
        <v>85.80994152046783</v>
      </c>
    </row>
    <row r="907" spans="2:19" ht="12.75">
      <c r="B907" s="95">
        <f t="shared" si="79"/>
        <v>361</v>
      </c>
      <c r="C907" s="4"/>
      <c r="D907" s="4"/>
      <c r="E907" s="4"/>
      <c r="F907" s="32" t="s">
        <v>109</v>
      </c>
      <c r="G907" s="41">
        <v>637</v>
      </c>
      <c r="H907" s="4" t="s">
        <v>295</v>
      </c>
      <c r="I907" s="71">
        <v>19250</v>
      </c>
      <c r="J907" s="71">
        <v>112</v>
      </c>
      <c r="K907" s="190">
        <f t="shared" si="75"/>
        <v>0.5818181818181818</v>
      </c>
      <c r="L907" s="178"/>
      <c r="M907" s="71"/>
      <c r="N907" s="71"/>
      <c r="O907" s="189"/>
      <c r="P907" s="178"/>
      <c r="Q907" s="71">
        <f t="shared" si="76"/>
        <v>19250</v>
      </c>
      <c r="R907" s="71">
        <f t="shared" si="77"/>
        <v>112</v>
      </c>
      <c r="S907" s="188">
        <f t="shared" si="78"/>
        <v>0.5818181818181818</v>
      </c>
    </row>
    <row r="908" spans="2:19" ht="12.75">
      <c r="B908" s="95">
        <f t="shared" si="79"/>
        <v>362</v>
      </c>
      <c r="C908" s="3"/>
      <c r="D908" s="3"/>
      <c r="E908" s="3"/>
      <c r="F908" s="92" t="s">
        <v>109</v>
      </c>
      <c r="G908" s="93">
        <v>640</v>
      </c>
      <c r="H908" s="3" t="s">
        <v>132</v>
      </c>
      <c r="I908" s="70">
        <v>21805</v>
      </c>
      <c r="J908" s="70">
        <v>0</v>
      </c>
      <c r="K908" s="190">
        <f t="shared" si="75"/>
        <v>0</v>
      </c>
      <c r="L908" s="177"/>
      <c r="M908" s="70"/>
      <c r="N908" s="70"/>
      <c r="O908" s="189"/>
      <c r="P908" s="177"/>
      <c r="Q908" s="70">
        <f t="shared" si="76"/>
        <v>21805</v>
      </c>
      <c r="R908" s="70">
        <f t="shared" si="77"/>
        <v>0</v>
      </c>
      <c r="S908" s="188">
        <f t="shared" si="78"/>
        <v>0</v>
      </c>
    </row>
    <row r="909" spans="2:19" ht="12.75">
      <c r="B909" s="95">
        <f t="shared" si="79"/>
        <v>363</v>
      </c>
      <c r="C909" s="3"/>
      <c r="D909" s="3"/>
      <c r="E909" s="3"/>
      <c r="F909" s="92"/>
      <c r="G909" s="93">
        <v>630</v>
      </c>
      <c r="H909" s="3" t="s">
        <v>545</v>
      </c>
      <c r="I909" s="70">
        <v>1216</v>
      </c>
      <c r="J909" s="70">
        <v>969</v>
      </c>
      <c r="K909" s="190">
        <f t="shared" si="75"/>
        <v>79.6875</v>
      </c>
      <c r="L909" s="177"/>
      <c r="M909" s="70"/>
      <c r="N909" s="70"/>
      <c r="O909" s="189"/>
      <c r="P909" s="177"/>
      <c r="Q909" s="70">
        <f t="shared" si="76"/>
        <v>1216</v>
      </c>
      <c r="R909" s="70">
        <f t="shared" si="77"/>
        <v>969</v>
      </c>
      <c r="S909" s="188">
        <f t="shared" si="78"/>
        <v>79.6875</v>
      </c>
    </row>
    <row r="910" spans="2:19" ht="15">
      <c r="B910" s="95">
        <f t="shared" si="79"/>
        <v>364</v>
      </c>
      <c r="C910" s="12"/>
      <c r="D910" s="12"/>
      <c r="E910" s="12">
        <v>13</v>
      </c>
      <c r="F910" s="35"/>
      <c r="G910" s="43"/>
      <c r="H910" s="12" t="s">
        <v>16</v>
      </c>
      <c r="I910" s="82">
        <f>I911+I912+I913+I918+I919+I920+I921+I927+I928</f>
        <v>656091</v>
      </c>
      <c r="J910" s="82">
        <f>J911+J912+J913+J918+J919+J920+J921+J927+J928</f>
        <v>258842</v>
      </c>
      <c r="K910" s="190">
        <f t="shared" si="75"/>
        <v>39.45214916833183</v>
      </c>
      <c r="L910" s="182"/>
      <c r="M910" s="82"/>
      <c r="N910" s="82"/>
      <c r="O910" s="189"/>
      <c r="P910" s="182"/>
      <c r="Q910" s="82">
        <f t="shared" si="76"/>
        <v>656091</v>
      </c>
      <c r="R910" s="82">
        <f t="shared" si="77"/>
        <v>258842</v>
      </c>
      <c r="S910" s="188">
        <f t="shared" si="78"/>
        <v>39.45214916833183</v>
      </c>
    </row>
    <row r="911" spans="2:19" ht="12.75">
      <c r="B911" s="95">
        <f t="shared" si="79"/>
        <v>365</v>
      </c>
      <c r="C911" s="3"/>
      <c r="D911" s="3"/>
      <c r="E911" s="3"/>
      <c r="F911" s="92" t="s">
        <v>123</v>
      </c>
      <c r="G911" s="93">
        <v>610</v>
      </c>
      <c r="H911" s="3" t="s">
        <v>134</v>
      </c>
      <c r="I911" s="70">
        <v>114363</v>
      </c>
      <c r="J911" s="70">
        <v>42418</v>
      </c>
      <c r="K911" s="190">
        <f t="shared" si="75"/>
        <v>37.090667436146305</v>
      </c>
      <c r="L911" s="177"/>
      <c r="M911" s="70"/>
      <c r="N911" s="70"/>
      <c r="O911" s="189"/>
      <c r="P911" s="177"/>
      <c r="Q911" s="70">
        <f t="shared" si="76"/>
        <v>114363</v>
      </c>
      <c r="R911" s="70">
        <f t="shared" si="77"/>
        <v>42418</v>
      </c>
      <c r="S911" s="188">
        <f t="shared" si="78"/>
        <v>37.090667436146305</v>
      </c>
    </row>
    <row r="912" spans="2:19" ht="12.75">
      <c r="B912" s="95">
        <f t="shared" si="79"/>
        <v>366</v>
      </c>
      <c r="C912" s="3"/>
      <c r="D912" s="3"/>
      <c r="E912" s="3"/>
      <c r="F912" s="92" t="s">
        <v>123</v>
      </c>
      <c r="G912" s="93">
        <v>620</v>
      </c>
      <c r="H912" s="3" t="s">
        <v>128</v>
      </c>
      <c r="I912" s="70">
        <v>39978</v>
      </c>
      <c r="J912" s="70">
        <v>14655</v>
      </c>
      <c r="K912" s="190">
        <f t="shared" si="75"/>
        <v>36.657661713942666</v>
      </c>
      <c r="L912" s="177"/>
      <c r="M912" s="70"/>
      <c r="N912" s="70"/>
      <c r="O912" s="189"/>
      <c r="P912" s="177"/>
      <c r="Q912" s="70">
        <f t="shared" si="76"/>
        <v>39978</v>
      </c>
      <c r="R912" s="70">
        <f t="shared" si="77"/>
        <v>14655</v>
      </c>
      <c r="S912" s="188">
        <f t="shared" si="78"/>
        <v>36.657661713942666</v>
      </c>
    </row>
    <row r="913" spans="2:19" ht="12.75">
      <c r="B913" s="95">
        <f t="shared" si="79"/>
        <v>367</v>
      </c>
      <c r="C913" s="3"/>
      <c r="D913" s="3"/>
      <c r="E913" s="3"/>
      <c r="F913" s="92" t="s">
        <v>123</v>
      </c>
      <c r="G913" s="93">
        <v>630</v>
      </c>
      <c r="H913" s="3" t="s">
        <v>125</v>
      </c>
      <c r="I913" s="70">
        <f>SUM(I914:I917)</f>
        <v>29923</v>
      </c>
      <c r="J913" s="70">
        <f>SUM(J914:J917)</f>
        <v>24129</v>
      </c>
      <c r="K913" s="190">
        <f t="shared" si="75"/>
        <v>80.6369682184273</v>
      </c>
      <c r="L913" s="177"/>
      <c r="M913" s="70"/>
      <c r="N913" s="70"/>
      <c r="O913" s="189"/>
      <c r="P913" s="177"/>
      <c r="Q913" s="70">
        <f t="shared" si="76"/>
        <v>29923</v>
      </c>
      <c r="R913" s="70">
        <f t="shared" si="77"/>
        <v>24129</v>
      </c>
      <c r="S913" s="188">
        <f t="shared" si="78"/>
        <v>80.6369682184273</v>
      </c>
    </row>
    <row r="914" spans="2:19" ht="12.75">
      <c r="B914" s="95">
        <f t="shared" si="79"/>
        <v>368</v>
      </c>
      <c r="C914" s="4"/>
      <c r="D914" s="4"/>
      <c r="E914" s="4"/>
      <c r="F914" s="32" t="s">
        <v>123</v>
      </c>
      <c r="G914" s="41">
        <v>632</v>
      </c>
      <c r="H914" s="4" t="s">
        <v>138</v>
      </c>
      <c r="I914" s="71">
        <v>22142</v>
      </c>
      <c r="J914" s="71">
        <v>19451</v>
      </c>
      <c r="K914" s="190">
        <f t="shared" si="75"/>
        <v>87.84662632101889</v>
      </c>
      <c r="L914" s="178"/>
      <c r="M914" s="71"/>
      <c r="N914" s="71"/>
      <c r="O914" s="189"/>
      <c r="P914" s="178"/>
      <c r="Q914" s="71">
        <f t="shared" si="76"/>
        <v>22142</v>
      </c>
      <c r="R914" s="71">
        <f t="shared" si="77"/>
        <v>19451</v>
      </c>
      <c r="S914" s="188">
        <f t="shared" si="78"/>
        <v>87.84662632101889</v>
      </c>
    </row>
    <row r="915" spans="2:19" ht="12.75">
      <c r="B915" s="95">
        <f t="shared" si="79"/>
        <v>369</v>
      </c>
      <c r="C915" s="4"/>
      <c r="D915" s="4"/>
      <c r="E915" s="4"/>
      <c r="F915" s="32" t="s">
        <v>123</v>
      </c>
      <c r="G915" s="41">
        <v>633</v>
      </c>
      <c r="H915" s="4" t="s">
        <v>129</v>
      </c>
      <c r="I915" s="71">
        <v>2251</v>
      </c>
      <c r="J915" s="71">
        <v>382</v>
      </c>
      <c r="K915" s="190">
        <f t="shared" si="75"/>
        <v>16.970235450910707</v>
      </c>
      <c r="L915" s="178"/>
      <c r="M915" s="71"/>
      <c r="N915" s="71"/>
      <c r="O915" s="189"/>
      <c r="P915" s="178"/>
      <c r="Q915" s="71">
        <f t="shared" si="76"/>
        <v>2251</v>
      </c>
      <c r="R915" s="71">
        <f t="shared" si="77"/>
        <v>382</v>
      </c>
      <c r="S915" s="188">
        <f t="shared" si="78"/>
        <v>16.970235450910707</v>
      </c>
    </row>
    <row r="916" spans="2:19" ht="12.75">
      <c r="B916" s="95">
        <f t="shared" si="79"/>
        <v>370</v>
      </c>
      <c r="C916" s="4"/>
      <c r="D916" s="4"/>
      <c r="E916" s="4"/>
      <c r="F916" s="32" t="s">
        <v>123</v>
      </c>
      <c r="G916" s="41">
        <v>635</v>
      </c>
      <c r="H916" s="4" t="s">
        <v>136</v>
      </c>
      <c r="I916" s="71">
        <v>600</v>
      </c>
      <c r="J916" s="71">
        <v>299</v>
      </c>
      <c r="K916" s="190">
        <f t="shared" si="75"/>
        <v>49.833333333333336</v>
      </c>
      <c r="L916" s="178"/>
      <c r="M916" s="71"/>
      <c r="N916" s="71"/>
      <c r="O916" s="189"/>
      <c r="P916" s="178"/>
      <c r="Q916" s="71">
        <f t="shared" si="76"/>
        <v>600</v>
      </c>
      <c r="R916" s="71">
        <f t="shared" si="77"/>
        <v>299</v>
      </c>
      <c r="S916" s="188">
        <f t="shared" si="78"/>
        <v>49.833333333333336</v>
      </c>
    </row>
    <row r="917" spans="2:19" ht="12.75">
      <c r="B917" s="95">
        <f t="shared" si="79"/>
        <v>371</v>
      </c>
      <c r="C917" s="4"/>
      <c r="D917" s="4"/>
      <c r="E917" s="4"/>
      <c r="F917" s="32" t="s">
        <v>123</v>
      </c>
      <c r="G917" s="41">
        <v>637</v>
      </c>
      <c r="H917" s="4" t="s">
        <v>126</v>
      </c>
      <c r="I917" s="71">
        <v>4930</v>
      </c>
      <c r="J917" s="71">
        <v>3997</v>
      </c>
      <c r="K917" s="190">
        <f t="shared" si="75"/>
        <v>81.07505070993915</v>
      </c>
      <c r="L917" s="178"/>
      <c r="M917" s="71"/>
      <c r="N917" s="71"/>
      <c r="O917" s="189"/>
      <c r="P917" s="178"/>
      <c r="Q917" s="71">
        <f t="shared" si="76"/>
        <v>4930</v>
      </c>
      <c r="R917" s="71">
        <f t="shared" si="77"/>
        <v>3997</v>
      </c>
      <c r="S917" s="188">
        <f t="shared" si="78"/>
        <v>81.07505070993915</v>
      </c>
    </row>
    <row r="918" spans="2:19" ht="12.75">
      <c r="B918" s="95">
        <f t="shared" si="79"/>
        <v>372</v>
      </c>
      <c r="C918" s="3"/>
      <c r="D918" s="3"/>
      <c r="E918" s="3"/>
      <c r="F918" s="92" t="s">
        <v>123</v>
      </c>
      <c r="G918" s="93">
        <v>640</v>
      </c>
      <c r="H918" s="3" t="s">
        <v>132</v>
      </c>
      <c r="I918" s="70">
        <f>160+240</f>
        <v>400</v>
      </c>
      <c r="J918" s="70">
        <v>0</v>
      </c>
      <c r="K918" s="190">
        <f t="shared" si="75"/>
        <v>0</v>
      </c>
      <c r="L918" s="177"/>
      <c r="M918" s="70"/>
      <c r="N918" s="70"/>
      <c r="O918" s="189"/>
      <c r="P918" s="177"/>
      <c r="Q918" s="70">
        <f t="shared" si="76"/>
        <v>400</v>
      </c>
      <c r="R918" s="70">
        <f t="shared" si="77"/>
        <v>0</v>
      </c>
      <c r="S918" s="188">
        <f t="shared" si="78"/>
        <v>0</v>
      </c>
    </row>
    <row r="919" spans="2:19" ht="12.75">
      <c r="B919" s="95">
        <f t="shared" si="79"/>
        <v>373</v>
      </c>
      <c r="C919" s="3"/>
      <c r="D919" s="3"/>
      <c r="E919" s="3"/>
      <c r="F919" s="92" t="s">
        <v>109</v>
      </c>
      <c r="G919" s="93">
        <v>610</v>
      </c>
      <c r="H919" s="3" t="s">
        <v>134</v>
      </c>
      <c r="I919" s="70">
        <f>277065-14114</f>
        <v>262951</v>
      </c>
      <c r="J919" s="70">
        <v>100347</v>
      </c>
      <c r="K919" s="190">
        <f t="shared" si="75"/>
        <v>38.16186285657784</v>
      </c>
      <c r="L919" s="177"/>
      <c r="M919" s="70"/>
      <c r="N919" s="70"/>
      <c r="O919" s="189"/>
      <c r="P919" s="177"/>
      <c r="Q919" s="70">
        <f t="shared" si="76"/>
        <v>262951</v>
      </c>
      <c r="R919" s="70">
        <f t="shared" si="77"/>
        <v>100347</v>
      </c>
      <c r="S919" s="188">
        <f t="shared" si="78"/>
        <v>38.16186285657784</v>
      </c>
    </row>
    <row r="920" spans="2:19" ht="12.75">
      <c r="B920" s="95">
        <f t="shared" si="79"/>
        <v>374</v>
      </c>
      <c r="C920" s="3"/>
      <c r="D920" s="3"/>
      <c r="E920" s="3"/>
      <c r="F920" s="92" t="s">
        <v>109</v>
      </c>
      <c r="G920" s="93">
        <v>620</v>
      </c>
      <c r="H920" s="3" t="s">
        <v>128</v>
      </c>
      <c r="I920" s="70">
        <f>96838-2091</f>
        <v>94747</v>
      </c>
      <c r="J920" s="70">
        <v>34652</v>
      </c>
      <c r="K920" s="190">
        <f t="shared" si="75"/>
        <v>36.57318965244282</v>
      </c>
      <c r="L920" s="177"/>
      <c r="M920" s="70"/>
      <c r="N920" s="70"/>
      <c r="O920" s="189"/>
      <c r="P920" s="177"/>
      <c r="Q920" s="70">
        <f t="shared" si="76"/>
        <v>94747</v>
      </c>
      <c r="R920" s="70">
        <f t="shared" si="77"/>
        <v>34652</v>
      </c>
      <c r="S920" s="188">
        <f t="shared" si="78"/>
        <v>36.57318965244282</v>
      </c>
    </row>
    <row r="921" spans="2:19" ht="12.75">
      <c r="B921" s="95">
        <f t="shared" si="79"/>
        <v>375</v>
      </c>
      <c r="C921" s="3"/>
      <c r="D921" s="3"/>
      <c r="E921" s="3"/>
      <c r="F921" s="92" t="s">
        <v>109</v>
      </c>
      <c r="G921" s="93">
        <v>630</v>
      </c>
      <c r="H921" s="3" t="s">
        <v>125</v>
      </c>
      <c r="I921" s="70">
        <f>SUM(I922:I926)</f>
        <v>113202</v>
      </c>
      <c r="J921" s="70">
        <f>SUM(J922:J926)</f>
        <v>42641</v>
      </c>
      <c r="K921" s="190">
        <f t="shared" si="75"/>
        <v>37.66806240172435</v>
      </c>
      <c r="L921" s="177"/>
      <c r="M921" s="70"/>
      <c r="N921" s="70"/>
      <c r="O921" s="189"/>
      <c r="P921" s="177"/>
      <c r="Q921" s="70">
        <f t="shared" si="76"/>
        <v>113202</v>
      </c>
      <c r="R921" s="70">
        <f t="shared" si="77"/>
        <v>42641</v>
      </c>
      <c r="S921" s="188">
        <f t="shared" si="78"/>
        <v>37.66806240172435</v>
      </c>
    </row>
    <row r="922" spans="2:19" ht="12.75">
      <c r="B922" s="95">
        <f t="shared" si="79"/>
        <v>376</v>
      </c>
      <c r="C922" s="4"/>
      <c r="D922" s="4"/>
      <c r="E922" s="4"/>
      <c r="F922" s="32" t="s">
        <v>109</v>
      </c>
      <c r="G922" s="41">
        <v>632</v>
      </c>
      <c r="H922" s="4" t="s">
        <v>138</v>
      </c>
      <c r="I922" s="71">
        <f>21222+2050</f>
        <v>23272</v>
      </c>
      <c r="J922" s="71">
        <v>15137</v>
      </c>
      <c r="K922" s="190">
        <f t="shared" si="75"/>
        <v>65.04382949467171</v>
      </c>
      <c r="L922" s="178"/>
      <c r="M922" s="71"/>
      <c r="N922" s="71"/>
      <c r="O922" s="189"/>
      <c r="P922" s="178"/>
      <c r="Q922" s="71">
        <f t="shared" si="76"/>
        <v>23272</v>
      </c>
      <c r="R922" s="71">
        <f t="shared" si="77"/>
        <v>15137</v>
      </c>
      <c r="S922" s="188">
        <f t="shared" si="78"/>
        <v>65.04382949467171</v>
      </c>
    </row>
    <row r="923" spans="2:19" ht="12.75">
      <c r="B923" s="95">
        <f t="shared" si="79"/>
        <v>377</v>
      </c>
      <c r="C923" s="4"/>
      <c r="D923" s="4"/>
      <c r="E923" s="4"/>
      <c r="F923" s="32" t="s">
        <v>109</v>
      </c>
      <c r="G923" s="41">
        <v>633</v>
      </c>
      <c r="H923" s="4" t="s">
        <v>129</v>
      </c>
      <c r="I923" s="71">
        <f>6374+3000-3744+330</f>
        <v>5960</v>
      </c>
      <c r="J923" s="71">
        <v>5261</v>
      </c>
      <c r="K923" s="190">
        <f t="shared" si="75"/>
        <v>88.27181208053692</v>
      </c>
      <c r="L923" s="178"/>
      <c r="M923" s="71"/>
      <c r="N923" s="71"/>
      <c r="O923" s="189"/>
      <c r="P923" s="178"/>
      <c r="Q923" s="71">
        <f t="shared" si="76"/>
        <v>5960</v>
      </c>
      <c r="R923" s="71">
        <f t="shared" si="77"/>
        <v>5261</v>
      </c>
      <c r="S923" s="188">
        <f t="shared" si="78"/>
        <v>88.27181208053692</v>
      </c>
    </row>
    <row r="924" spans="2:19" ht="12.75">
      <c r="B924" s="95">
        <f t="shared" si="79"/>
        <v>378</v>
      </c>
      <c r="C924" s="4"/>
      <c r="D924" s="4"/>
      <c r="E924" s="4"/>
      <c r="F924" s="32" t="s">
        <v>109</v>
      </c>
      <c r="G924" s="41">
        <v>635</v>
      </c>
      <c r="H924" s="4" t="s">
        <v>136</v>
      </c>
      <c r="I924" s="71">
        <f>3800+54000</f>
        <v>57800</v>
      </c>
      <c r="J924" s="71">
        <v>15082</v>
      </c>
      <c r="K924" s="190">
        <f t="shared" si="75"/>
        <v>26.09342560553633</v>
      </c>
      <c r="L924" s="178"/>
      <c r="M924" s="71"/>
      <c r="N924" s="71"/>
      <c r="O924" s="189"/>
      <c r="P924" s="178"/>
      <c r="Q924" s="71">
        <f t="shared" si="76"/>
        <v>57800</v>
      </c>
      <c r="R924" s="71">
        <f t="shared" si="77"/>
        <v>15082</v>
      </c>
      <c r="S924" s="188">
        <f t="shared" si="78"/>
        <v>26.09342560553633</v>
      </c>
    </row>
    <row r="925" spans="2:19" ht="12.75">
      <c r="B925" s="95">
        <f t="shared" si="79"/>
        <v>379</v>
      </c>
      <c r="C925" s="4"/>
      <c r="D925" s="4"/>
      <c r="E925" s="4"/>
      <c r="F925" s="32" t="s">
        <v>109</v>
      </c>
      <c r="G925" s="41">
        <v>637</v>
      </c>
      <c r="H925" s="4" t="s">
        <v>126</v>
      </c>
      <c r="I925" s="71">
        <f>14370+3000</f>
        <v>17370</v>
      </c>
      <c r="J925" s="71">
        <v>6548</v>
      </c>
      <c r="K925" s="190">
        <f t="shared" si="75"/>
        <v>37.6971790443293</v>
      </c>
      <c r="L925" s="178"/>
      <c r="M925" s="71"/>
      <c r="N925" s="71"/>
      <c r="O925" s="189"/>
      <c r="P925" s="178"/>
      <c r="Q925" s="71">
        <f t="shared" si="76"/>
        <v>17370</v>
      </c>
      <c r="R925" s="71">
        <f t="shared" si="77"/>
        <v>6548</v>
      </c>
      <c r="S925" s="188">
        <f t="shared" si="78"/>
        <v>37.6971790443293</v>
      </c>
    </row>
    <row r="926" spans="2:19" ht="12.75">
      <c r="B926" s="95">
        <f t="shared" si="79"/>
        <v>380</v>
      </c>
      <c r="C926" s="4"/>
      <c r="D926" s="4"/>
      <c r="E926" s="4"/>
      <c r="F926" s="32" t="s">
        <v>109</v>
      </c>
      <c r="G926" s="41">
        <v>637</v>
      </c>
      <c r="H926" s="4" t="s">
        <v>295</v>
      </c>
      <c r="I926" s="71">
        <v>8800</v>
      </c>
      <c r="J926" s="71">
        <v>613</v>
      </c>
      <c r="K926" s="190">
        <f t="shared" si="75"/>
        <v>6.965909090909091</v>
      </c>
      <c r="L926" s="178"/>
      <c r="M926" s="71"/>
      <c r="N926" s="71"/>
      <c r="O926" s="189"/>
      <c r="P926" s="178"/>
      <c r="Q926" s="71">
        <f t="shared" si="76"/>
        <v>8800</v>
      </c>
      <c r="R926" s="71">
        <f t="shared" si="77"/>
        <v>613</v>
      </c>
      <c r="S926" s="188">
        <f t="shared" si="78"/>
        <v>6.965909090909091</v>
      </c>
    </row>
    <row r="927" spans="2:19" ht="12.75">
      <c r="B927" s="95">
        <f t="shared" si="79"/>
        <v>381</v>
      </c>
      <c r="C927" s="3"/>
      <c r="D927" s="3"/>
      <c r="E927" s="3"/>
      <c r="F927" s="92" t="s">
        <v>109</v>
      </c>
      <c r="G927" s="93">
        <v>640</v>
      </c>
      <c r="H927" s="3" t="s">
        <v>132</v>
      </c>
      <c r="I927" s="70">
        <f>240+160</f>
        <v>400</v>
      </c>
      <c r="J927" s="70">
        <v>0</v>
      </c>
      <c r="K927" s="190">
        <f t="shared" si="75"/>
        <v>0</v>
      </c>
      <c r="L927" s="177"/>
      <c r="M927" s="70"/>
      <c r="N927" s="70"/>
      <c r="O927" s="189"/>
      <c r="P927" s="177"/>
      <c r="Q927" s="70">
        <f t="shared" si="76"/>
        <v>400</v>
      </c>
      <c r="R927" s="70">
        <f t="shared" si="77"/>
        <v>0</v>
      </c>
      <c r="S927" s="188">
        <f t="shared" si="78"/>
        <v>0</v>
      </c>
    </row>
    <row r="928" spans="2:19" ht="12.75">
      <c r="B928" s="95">
        <f t="shared" si="79"/>
        <v>382</v>
      </c>
      <c r="C928" s="3"/>
      <c r="D928" s="3"/>
      <c r="E928" s="3"/>
      <c r="F928" s="92" t="s">
        <v>109</v>
      </c>
      <c r="G928" s="93">
        <v>630</v>
      </c>
      <c r="H928" s="3" t="s">
        <v>545</v>
      </c>
      <c r="I928" s="70">
        <v>127</v>
      </c>
      <c r="J928" s="70">
        <v>0</v>
      </c>
      <c r="K928" s="190">
        <f t="shared" si="75"/>
        <v>0</v>
      </c>
      <c r="L928" s="177"/>
      <c r="M928" s="70"/>
      <c r="N928" s="70"/>
      <c r="O928" s="189"/>
      <c r="P928" s="177"/>
      <c r="Q928" s="70">
        <f>M928+I928</f>
        <v>127</v>
      </c>
      <c r="R928" s="70">
        <f t="shared" si="77"/>
        <v>0</v>
      </c>
      <c r="S928" s="188">
        <f t="shared" si="78"/>
        <v>0</v>
      </c>
    </row>
    <row r="929" spans="2:19" ht="15">
      <c r="B929" s="95">
        <f t="shared" si="79"/>
        <v>383</v>
      </c>
      <c r="C929" s="96">
        <v>3</v>
      </c>
      <c r="D929" s="296" t="s">
        <v>163</v>
      </c>
      <c r="E929" s="297"/>
      <c r="F929" s="297"/>
      <c r="G929" s="297"/>
      <c r="H929" s="298"/>
      <c r="I929" s="97">
        <f>I930+I940+I952+I960+I969+I977+I986+I995+I1003+I1011+I1020+I1029</f>
        <v>3625595</v>
      </c>
      <c r="J929" s="97">
        <f>J930+J940+J952+J960+J969+J977+J986+J995+J1003+J1011+J1020+J1029</f>
        <v>1513800</v>
      </c>
      <c r="K929" s="190">
        <f t="shared" si="75"/>
        <v>41.7531467248824</v>
      </c>
      <c r="L929" s="184"/>
      <c r="M929" s="97"/>
      <c r="N929" s="97"/>
      <c r="O929" s="189"/>
      <c r="P929" s="184"/>
      <c r="Q929" s="97">
        <f t="shared" si="76"/>
        <v>3625595</v>
      </c>
      <c r="R929" s="97">
        <f t="shared" si="77"/>
        <v>1513800</v>
      </c>
      <c r="S929" s="188">
        <f t="shared" si="78"/>
        <v>41.7531467248824</v>
      </c>
    </row>
    <row r="930" spans="2:19" ht="12.75">
      <c r="B930" s="95">
        <f t="shared" si="79"/>
        <v>384</v>
      </c>
      <c r="C930" s="3"/>
      <c r="D930" s="3"/>
      <c r="E930" s="3"/>
      <c r="F930" s="92" t="s">
        <v>162</v>
      </c>
      <c r="G930" s="93">
        <v>640</v>
      </c>
      <c r="H930" s="3" t="s">
        <v>132</v>
      </c>
      <c r="I930" s="70">
        <f>I931</f>
        <v>698712</v>
      </c>
      <c r="J930" s="70">
        <f>J931</f>
        <v>342222</v>
      </c>
      <c r="K930" s="190">
        <f t="shared" si="75"/>
        <v>48.97897846322948</v>
      </c>
      <c r="L930" s="177"/>
      <c r="M930" s="70"/>
      <c r="N930" s="70"/>
      <c r="O930" s="189"/>
      <c r="P930" s="177"/>
      <c r="Q930" s="70">
        <f t="shared" si="76"/>
        <v>698712</v>
      </c>
      <c r="R930" s="70">
        <f t="shared" si="77"/>
        <v>342222</v>
      </c>
      <c r="S930" s="188">
        <f t="shared" si="78"/>
        <v>48.97897846322948</v>
      </c>
    </row>
    <row r="931" spans="2:19" ht="12.75">
      <c r="B931" s="95">
        <f t="shared" si="79"/>
        <v>385</v>
      </c>
      <c r="C931" s="4"/>
      <c r="D931" s="4"/>
      <c r="E931" s="4"/>
      <c r="F931" s="32" t="s">
        <v>162</v>
      </c>
      <c r="G931" s="41">
        <v>642</v>
      </c>
      <c r="H931" s="64" t="s">
        <v>133</v>
      </c>
      <c r="I931" s="71">
        <f>SUM(I932:I939)</f>
        <v>698712</v>
      </c>
      <c r="J931" s="71">
        <f>SUM(J932:J939)</f>
        <v>342222</v>
      </c>
      <c r="K931" s="190">
        <f t="shared" si="75"/>
        <v>48.97897846322948</v>
      </c>
      <c r="L931" s="178"/>
      <c r="M931" s="71"/>
      <c r="N931" s="71"/>
      <c r="O931" s="189"/>
      <c r="P931" s="178"/>
      <c r="Q931" s="71">
        <f t="shared" si="76"/>
        <v>698712</v>
      </c>
      <c r="R931" s="71">
        <f t="shared" si="77"/>
        <v>342222</v>
      </c>
      <c r="S931" s="188">
        <f t="shared" si="78"/>
        <v>48.97897846322948</v>
      </c>
    </row>
    <row r="932" spans="2:19" ht="12.75">
      <c r="B932" s="95">
        <f t="shared" si="79"/>
        <v>386</v>
      </c>
      <c r="C932" s="5"/>
      <c r="D932" s="5"/>
      <c r="E932" s="5"/>
      <c r="F932" s="33"/>
      <c r="G932" s="42"/>
      <c r="H932" s="66" t="s">
        <v>398</v>
      </c>
      <c r="I932" s="75">
        <f>26093-3957</f>
        <v>22136</v>
      </c>
      <c r="J932" s="75">
        <v>11727</v>
      </c>
      <c r="K932" s="190">
        <f t="shared" si="75"/>
        <v>52.977050957715946</v>
      </c>
      <c r="L932" s="99"/>
      <c r="M932" s="75"/>
      <c r="N932" s="75"/>
      <c r="O932" s="189"/>
      <c r="P932" s="99"/>
      <c r="Q932" s="75">
        <f t="shared" si="76"/>
        <v>22136</v>
      </c>
      <c r="R932" s="75">
        <f t="shared" si="77"/>
        <v>11727</v>
      </c>
      <c r="S932" s="188">
        <f t="shared" si="78"/>
        <v>52.977050957715946</v>
      </c>
    </row>
    <row r="933" spans="2:19" ht="12.75">
      <c r="B933" s="95">
        <f t="shared" si="79"/>
        <v>387</v>
      </c>
      <c r="C933" s="5"/>
      <c r="D933" s="5"/>
      <c r="E933" s="5"/>
      <c r="F933" s="33"/>
      <c r="G933" s="42"/>
      <c r="H933" s="66" t="s">
        <v>399</v>
      </c>
      <c r="I933" s="75">
        <f>28839+1849</f>
        <v>30688</v>
      </c>
      <c r="J933" s="75">
        <v>15036</v>
      </c>
      <c r="K933" s="190">
        <f t="shared" si="75"/>
        <v>48.996350364963504</v>
      </c>
      <c r="L933" s="99"/>
      <c r="M933" s="75"/>
      <c r="N933" s="75"/>
      <c r="O933" s="189"/>
      <c r="P933" s="99"/>
      <c r="Q933" s="75">
        <f t="shared" si="76"/>
        <v>30688</v>
      </c>
      <c r="R933" s="75">
        <f t="shared" si="77"/>
        <v>15036</v>
      </c>
      <c r="S933" s="188">
        <f t="shared" si="78"/>
        <v>48.996350364963504</v>
      </c>
    </row>
    <row r="934" spans="2:19" ht="12.75">
      <c r="B934" s="95">
        <f t="shared" si="79"/>
        <v>388</v>
      </c>
      <c r="C934" s="5"/>
      <c r="D934" s="5"/>
      <c r="E934" s="5"/>
      <c r="F934" s="33"/>
      <c r="G934" s="42"/>
      <c r="H934" s="66" t="s">
        <v>400</v>
      </c>
      <c r="I934" s="75">
        <f>16925+3710</f>
        <v>20635</v>
      </c>
      <c r="J934" s="75">
        <v>9699</v>
      </c>
      <c r="K934" s="190">
        <f t="shared" si="75"/>
        <v>47.00266537436394</v>
      </c>
      <c r="L934" s="99"/>
      <c r="M934" s="75"/>
      <c r="N934" s="75"/>
      <c r="O934" s="189"/>
      <c r="P934" s="99"/>
      <c r="Q934" s="75">
        <f t="shared" si="76"/>
        <v>20635</v>
      </c>
      <c r="R934" s="75">
        <f t="shared" si="77"/>
        <v>9699</v>
      </c>
      <c r="S934" s="188">
        <f t="shared" si="78"/>
        <v>47.00266537436394</v>
      </c>
    </row>
    <row r="935" spans="2:19" ht="12.75">
      <c r="B935" s="95">
        <f t="shared" si="79"/>
        <v>389</v>
      </c>
      <c r="C935" s="5"/>
      <c r="D935" s="5"/>
      <c r="E935" s="5"/>
      <c r="F935" s="33"/>
      <c r="G935" s="42"/>
      <c r="H935" s="66" t="s">
        <v>401</v>
      </c>
      <c r="I935" s="75">
        <f>29869+12893</f>
        <v>42762</v>
      </c>
      <c r="J935" s="75">
        <v>19233</v>
      </c>
      <c r="K935" s="190">
        <f aca="true" t="shared" si="80" ref="K935:K998">J935/I935*100</f>
        <v>44.97684860390066</v>
      </c>
      <c r="L935" s="99"/>
      <c r="M935" s="75"/>
      <c r="N935" s="75"/>
      <c r="O935" s="189"/>
      <c r="P935" s="99"/>
      <c r="Q935" s="75">
        <f aca="true" t="shared" si="81" ref="Q935:Q998">M935+I935</f>
        <v>42762</v>
      </c>
      <c r="R935" s="75">
        <f aca="true" t="shared" si="82" ref="R935:R998">N935+J935</f>
        <v>19233</v>
      </c>
      <c r="S935" s="188">
        <f aca="true" t="shared" si="83" ref="S935:S998">R935/Q935*100</f>
        <v>44.97684860390066</v>
      </c>
    </row>
    <row r="936" spans="2:19" ht="12.75">
      <c r="B936" s="95">
        <f t="shared" si="79"/>
        <v>390</v>
      </c>
      <c r="C936" s="5"/>
      <c r="D936" s="5"/>
      <c r="E936" s="5"/>
      <c r="F936" s="33"/>
      <c r="G936" s="42"/>
      <c r="H936" s="29" t="s">
        <v>402</v>
      </c>
      <c r="I936" s="75">
        <f>153605-1977</f>
        <v>151628</v>
      </c>
      <c r="J936" s="75">
        <v>76143</v>
      </c>
      <c r="K936" s="190">
        <f t="shared" si="80"/>
        <v>50.21697839449178</v>
      </c>
      <c r="L936" s="99"/>
      <c r="M936" s="75"/>
      <c r="N936" s="75"/>
      <c r="O936" s="189"/>
      <c r="P936" s="99"/>
      <c r="Q936" s="75">
        <f t="shared" si="81"/>
        <v>151628</v>
      </c>
      <c r="R936" s="75">
        <f t="shared" si="82"/>
        <v>76143</v>
      </c>
      <c r="S936" s="188">
        <f t="shared" si="83"/>
        <v>50.21697839449178</v>
      </c>
    </row>
    <row r="937" spans="2:19" ht="12.75">
      <c r="B937" s="95">
        <f aca="true" t="shared" si="84" ref="B937:B1000">B936+1</f>
        <v>391</v>
      </c>
      <c r="C937" s="5"/>
      <c r="D937" s="5"/>
      <c r="E937" s="5"/>
      <c r="F937" s="33"/>
      <c r="G937" s="42"/>
      <c r="H937" s="29" t="s">
        <v>403</v>
      </c>
      <c r="I937" s="75">
        <f>364514+31535</f>
        <v>396049</v>
      </c>
      <c r="J937" s="75">
        <v>192768</v>
      </c>
      <c r="K937" s="190">
        <f t="shared" si="80"/>
        <v>48.67276523864471</v>
      </c>
      <c r="L937" s="99"/>
      <c r="M937" s="75"/>
      <c r="N937" s="75"/>
      <c r="O937" s="189"/>
      <c r="P937" s="99"/>
      <c r="Q937" s="75">
        <f t="shared" si="81"/>
        <v>396049</v>
      </c>
      <c r="R937" s="75">
        <f t="shared" si="82"/>
        <v>192768</v>
      </c>
      <c r="S937" s="188">
        <f t="shared" si="83"/>
        <v>48.67276523864471</v>
      </c>
    </row>
    <row r="938" spans="2:19" ht="12.75">
      <c r="B938" s="95">
        <f t="shared" si="84"/>
        <v>392</v>
      </c>
      <c r="C938" s="5"/>
      <c r="D938" s="5"/>
      <c r="E938" s="5"/>
      <c r="F938" s="33"/>
      <c r="G938" s="42"/>
      <c r="H938" s="66" t="s">
        <v>404</v>
      </c>
      <c r="I938" s="75">
        <f>6180-143</f>
        <v>6037</v>
      </c>
      <c r="J938" s="75">
        <v>3042</v>
      </c>
      <c r="K938" s="190">
        <f t="shared" si="80"/>
        <v>50.38926619181713</v>
      </c>
      <c r="L938" s="99"/>
      <c r="M938" s="75"/>
      <c r="N938" s="75"/>
      <c r="O938" s="189"/>
      <c r="P938" s="99"/>
      <c r="Q938" s="75">
        <f t="shared" si="81"/>
        <v>6037</v>
      </c>
      <c r="R938" s="75">
        <f t="shared" si="82"/>
        <v>3042</v>
      </c>
      <c r="S938" s="188">
        <f t="shared" si="83"/>
        <v>50.38926619181713</v>
      </c>
    </row>
    <row r="939" spans="2:19" ht="12.75">
      <c r="B939" s="95">
        <f t="shared" si="84"/>
        <v>393</v>
      </c>
      <c r="C939" s="5"/>
      <c r="D939" s="5"/>
      <c r="E939" s="5"/>
      <c r="F939" s="33"/>
      <c r="G939" s="42"/>
      <c r="H939" s="29" t="s">
        <v>405</v>
      </c>
      <c r="I939" s="75">
        <f>29884-1107</f>
        <v>28777</v>
      </c>
      <c r="J939" s="75">
        <v>14574</v>
      </c>
      <c r="K939" s="190">
        <f t="shared" si="80"/>
        <v>50.64461201654099</v>
      </c>
      <c r="L939" s="99"/>
      <c r="M939" s="75"/>
      <c r="N939" s="75"/>
      <c r="O939" s="189"/>
      <c r="P939" s="99"/>
      <c r="Q939" s="75">
        <f t="shared" si="81"/>
        <v>28777</v>
      </c>
      <c r="R939" s="75">
        <f t="shared" si="82"/>
        <v>14574</v>
      </c>
      <c r="S939" s="188">
        <f t="shared" si="83"/>
        <v>50.64461201654099</v>
      </c>
    </row>
    <row r="940" spans="2:19" ht="15">
      <c r="B940" s="95">
        <f t="shared" si="84"/>
        <v>394</v>
      </c>
      <c r="C940" s="12"/>
      <c r="D940" s="12"/>
      <c r="E940" s="12">
        <v>1</v>
      </c>
      <c r="F940" s="35"/>
      <c r="G940" s="43"/>
      <c r="H940" s="65" t="s">
        <v>45</v>
      </c>
      <c r="I940" s="82">
        <f>I941+I942+I943+I951</f>
        <v>241035</v>
      </c>
      <c r="J940" s="82">
        <f>J941+J942+J943+J951</f>
        <v>83864</v>
      </c>
      <c r="K940" s="190">
        <f t="shared" si="80"/>
        <v>34.793287281930006</v>
      </c>
      <c r="L940" s="182"/>
      <c r="M940" s="82"/>
      <c r="N940" s="82"/>
      <c r="O940" s="189"/>
      <c r="P940" s="182"/>
      <c r="Q940" s="82">
        <f t="shared" si="81"/>
        <v>241035</v>
      </c>
      <c r="R940" s="82">
        <f t="shared" si="82"/>
        <v>83864</v>
      </c>
      <c r="S940" s="188">
        <f t="shared" si="83"/>
        <v>34.793287281930006</v>
      </c>
    </row>
    <row r="941" spans="2:19" ht="12.75">
      <c r="B941" s="95">
        <f t="shared" si="84"/>
        <v>395</v>
      </c>
      <c r="C941" s="3"/>
      <c r="D941" s="3"/>
      <c r="E941" s="3"/>
      <c r="F941" s="92" t="s">
        <v>162</v>
      </c>
      <c r="G941" s="93">
        <v>610</v>
      </c>
      <c r="H941" s="3" t="s">
        <v>134</v>
      </c>
      <c r="I941" s="70">
        <f>129900+50</f>
        <v>129950</v>
      </c>
      <c r="J941" s="70">
        <v>52815</v>
      </c>
      <c r="K941" s="190">
        <f t="shared" si="80"/>
        <v>40.6425548287803</v>
      </c>
      <c r="L941" s="177"/>
      <c r="M941" s="70"/>
      <c r="N941" s="70"/>
      <c r="O941" s="189"/>
      <c r="P941" s="177"/>
      <c r="Q941" s="70">
        <f t="shared" si="81"/>
        <v>129950</v>
      </c>
      <c r="R941" s="70">
        <f t="shared" si="82"/>
        <v>52815</v>
      </c>
      <c r="S941" s="188">
        <f t="shared" si="83"/>
        <v>40.6425548287803</v>
      </c>
    </row>
    <row r="942" spans="2:19" ht="12.75">
      <c r="B942" s="95">
        <f t="shared" si="84"/>
        <v>396</v>
      </c>
      <c r="C942" s="3"/>
      <c r="D942" s="3"/>
      <c r="E942" s="3"/>
      <c r="F942" s="92" t="s">
        <v>162</v>
      </c>
      <c r="G942" s="93">
        <v>620</v>
      </c>
      <c r="H942" s="3" t="s">
        <v>128</v>
      </c>
      <c r="I942" s="70">
        <f>49800+10</f>
        <v>49810</v>
      </c>
      <c r="J942" s="70">
        <v>17047</v>
      </c>
      <c r="K942" s="190">
        <f t="shared" si="80"/>
        <v>34.22405139530215</v>
      </c>
      <c r="L942" s="177"/>
      <c r="M942" s="70"/>
      <c r="N942" s="70"/>
      <c r="O942" s="189"/>
      <c r="P942" s="177"/>
      <c r="Q942" s="70">
        <f t="shared" si="81"/>
        <v>49810</v>
      </c>
      <c r="R942" s="70">
        <f t="shared" si="82"/>
        <v>17047</v>
      </c>
      <c r="S942" s="188">
        <f t="shared" si="83"/>
        <v>34.22405139530215</v>
      </c>
    </row>
    <row r="943" spans="2:19" ht="12.75">
      <c r="B943" s="94">
        <f t="shared" si="84"/>
        <v>397</v>
      </c>
      <c r="C943" s="3"/>
      <c r="D943" s="3"/>
      <c r="E943" s="3"/>
      <c r="F943" s="92" t="s">
        <v>162</v>
      </c>
      <c r="G943" s="93">
        <v>630</v>
      </c>
      <c r="H943" s="3" t="s">
        <v>125</v>
      </c>
      <c r="I943" s="70">
        <f>SUM(I944:I950)</f>
        <v>60775</v>
      </c>
      <c r="J943" s="70">
        <f>SUM(J944:J950)</f>
        <v>13786</v>
      </c>
      <c r="K943" s="190">
        <f t="shared" si="80"/>
        <v>22.683669271904567</v>
      </c>
      <c r="L943" s="177"/>
      <c r="M943" s="70"/>
      <c r="N943" s="70"/>
      <c r="O943" s="189"/>
      <c r="P943" s="177"/>
      <c r="Q943" s="70">
        <f t="shared" si="81"/>
        <v>60775</v>
      </c>
      <c r="R943" s="70">
        <f t="shared" si="82"/>
        <v>13786</v>
      </c>
      <c r="S943" s="188">
        <f t="shared" si="83"/>
        <v>22.683669271904567</v>
      </c>
    </row>
    <row r="944" spans="2:19" ht="12.75">
      <c r="B944" s="94">
        <f t="shared" si="84"/>
        <v>398</v>
      </c>
      <c r="C944" s="4"/>
      <c r="D944" s="4"/>
      <c r="E944" s="4"/>
      <c r="F944" s="32" t="s">
        <v>162</v>
      </c>
      <c r="G944" s="41">
        <v>631</v>
      </c>
      <c r="H944" s="4" t="s">
        <v>131</v>
      </c>
      <c r="I944" s="71">
        <v>200</v>
      </c>
      <c r="J944" s="71">
        <v>58</v>
      </c>
      <c r="K944" s="190">
        <f t="shared" si="80"/>
        <v>28.999999999999996</v>
      </c>
      <c r="L944" s="178"/>
      <c r="M944" s="71"/>
      <c r="N944" s="71"/>
      <c r="O944" s="189"/>
      <c r="P944" s="178"/>
      <c r="Q944" s="71">
        <f t="shared" si="81"/>
        <v>200</v>
      </c>
      <c r="R944" s="71">
        <f t="shared" si="82"/>
        <v>58</v>
      </c>
      <c r="S944" s="188">
        <f t="shared" si="83"/>
        <v>28.999999999999996</v>
      </c>
    </row>
    <row r="945" spans="2:19" ht="12.75">
      <c r="B945" s="94">
        <f t="shared" si="84"/>
        <v>399</v>
      </c>
      <c r="C945" s="4"/>
      <c r="D945" s="4"/>
      <c r="E945" s="4"/>
      <c r="F945" s="32" t="s">
        <v>162</v>
      </c>
      <c r="G945" s="41">
        <v>632</v>
      </c>
      <c r="H945" s="4" t="s">
        <v>138</v>
      </c>
      <c r="I945" s="71">
        <v>8400</v>
      </c>
      <c r="J945" s="71">
        <v>1777</v>
      </c>
      <c r="K945" s="190">
        <f t="shared" si="80"/>
        <v>21.154761904761905</v>
      </c>
      <c r="L945" s="178"/>
      <c r="M945" s="71"/>
      <c r="N945" s="71"/>
      <c r="O945" s="189"/>
      <c r="P945" s="178"/>
      <c r="Q945" s="71">
        <f t="shared" si="81"/>
        <v>8400</v>
      </c>
      <c r="R945" s="71">
        <f t="shared" si="82"/>
        <v>1777</v>
      </c>
      <c r="S945" s="188">
        <f t="shared" si="83"/>
        <v>21.154761904761905</v>
      </c>
    </row>
    <row r="946" spans="2:19" ht="12.75">
      <c r="B946" s="94">
        <f t="shared" si="84"/>
        <v>400</v>
      </c>
      <c r="C946" s="4"/>
      <c r="D946" s="4"/>
      <c r="E946" s="4"/>
      <c r="F946" s="32" t="s">
        <v>162</v>
      </c>
      <c r="G946" s="41">
        <v>633</v>
      </c>
      <c r="H946" s="4" t="s">
        <v>129</v>
      </c>
      <c r="I946" s="71">
        <f>17200-4800</f>
        <v>12400</v>
      </c>
      <c r="J946" s="71">
        <v>2563</v>
      </c>
      <c r="K946" s="190">
        <f t="shared" si="80"/>
        <v>20.669354838709676</v>
      </c>
      <c r="L946" s="178"/>
      <c r="M946" s="71"/>
      <c r="N946" s="71"/>
      <c r="O946" s="189"/>
      <c r="P946" s="178"/>
      <c r="Q946" s="71">
        <f t="shared" si="81"/>
        <v>12400</v>
      </c>
      <c r="R946" s="71">
        <f t="shared" si="82"/>
        <v>2563</v>
      </c>
      <c r="S946" s="188">
        <f t="shared" si="83"/>
        <v>20.669354838709676</v>
      </c>
    </row>
    <row r="947" spans="2:19" ht="12.75">
      <c r="B947" s="94">
        <f t="shared" si="84"/>
        <v>401</v>
      </c>
      <c r="C947" s="4"/>
      <c r="D947" s="4"/>
      <c r="E947" s="4"/>
      <c r="F947" s="32" t="s">
        <v>162</v>
      </c>
      <c r="G947" s="41">
        <v>634</v>
      </c>
      <c r="H947" s="4" t="s">
        <v>135</v>
      </c>
      <c r="I947" s="71">
        <v>1500</v>
      </c>
      <c r="J947" s="71">
        <v>8</v>
      </c>
      <c r="K947" s="190">
        <f t="shared" si="80"/>
        <v>0.5333333333333333</v>
      </c>
      <c r="L947" s="178"/>
      <c r="M947" s="71"/>
      <c r="N947" s="71"/>
      <c r="O947" s="189"/>
      <c r="P947" s="178"/>
      <c r="Q947" s="71">
        <f t="shared" si="81"/>
        <v>1500</v>
      </c>
      <c r="R947" s="71">
        <f t="shared" si="82"/>
        <v>8</v>
      </c>
      <c r="S947" s="188">
        <f t="shared" si="83"/>
        <v>0.5333333333333333</v>
      </c>
    </row>
    <row r="948" spans="2:19" ht="12.75">
      <c r="B948" s="94">
        <f t="shared" si="84"/>
        <v>402</v>
      </c>
      <c r="C948" s="4"/>
      <c r="D948" s="4"/>
      <c r="E948" s="4"/>
      <c r="F948" s="32" t="s">
        <v>162</v>
      </c>
      <c r="G948" s="41">
        <v>635</v>
      </c>
      <c r="H948" s="4" t="s">
        <v>136</v>
      </c>
      <c r="I948" s="71">
        <v>2000</v>
      </c>
      <c r="J948" s="71">
        <v>908</v>
      </c>
      <c r="K948" s="190">
        <f t="shared" si="80"/>
        <v>45.4</v>
      </c>
      <c r="L948" s="178"/>
      <c r="M948" s="71"/>
      <c r="N948" s="71"/>
      <c r="O948" s="189"/>
      <c r="P948" s="178"/>
      <c r="Q948" s="71">
        <f t="shared" si="81"/>
        <v>2000</v>
      </c>
      <c r="R948" s="71">
        <f t="shared" si="82"/>
        <v>908</v>
      </c>
      <c r="S948" s="188">
        <f t="shared" si="83"/>
        <v>45.4</v>
      </c>
    </row>
    <row r="949" spans="2:19" ht="12.75">
      <c r="B949" s="94">
        <f t="shared" si="84"/>
        <v>403</v>
      </c>
      <c r="C949" s="4"/>
      <c r="D949" s="4"/>
      <c r="E949" s="4"/>
      <c r="F949" s="32" t="s">
        <v>162</v>
      </c>
      <c r="G949" s="41">
        <v>637</v>
      </c>
      <c r="H949" s="4" t="s">
        <v>126</v>
      </c>
      <c r="I949" s="71">
        <f>30000+4900</f>
        <v>34900</v>
      </c>
      <c r="J949" s="71">
        <v>8074</v>
      </c>
      <c r="K949" s="190">
        <f t="shared" si="80"/>
        <v>23.134670487106018</v>
      </c>
      <c r="L949" s="178"/>
      <c r="M949" s="71"/>
      <c r="N949" s="71"/>
      <c r="O949" s="189"/>
      <c r="P949" s="178"/>
      <c r="Q949" s="71">
        <f t="shared" si="81"/>
        <v>34900</v>
      </c>
      <c r="R949" s="71">
        <f t="shared" si="82"/>
        <v>8074</v>
      </c>
      <c r="S949" s="188">
        <f t="shared" si="83"/>
        <v>23.134670487106018</v>
      </c>
    </row>
    <row r="950" spans="2:19" ht="12.75">
      <c r="B950" s="94">
        <f t="shared" si="84"/>
        <v>404</v>
      </c>
      <c r="C950" s="4"/>
      <c r="D950" s="4"/>
      <c r="E950" s="4"/>
      <c r="F950" s="32" t="s">
        <v>162</v>
      </c>
      <c r="G950" s="41">
        <v>637</v>
      </c>
      <c r="H950" s="4" t="s">
        <v>295</v>
      </c>
      <c r="I950" s="71">
        <v>1375</v>
      </c>
      <c r="J950" s="71">
        <v>398</v>
      </c>
      <c r="K950" s="190">
        <f t="shared" si="80"/>
        <v>28.945454545454545</v>
      </c>
      <c r="L950" s="178"/>
      <c r="M950" s="71"/>
      <c r="N950" s="71"/>
      <c r="O950" s="189"/>
      <c r="P950" s="178"/>
      <c r="Q950" s="71">
        <f t="shared" si="81"/>
        <v>1375</v>
      </c>
      <c r="R950" s="71">
        <f t="shared" si="82"/>
        <v>398</v>
      </c>
      <c r="S950" s="188">
        <f t="shared" si="83"/>
        <v>28.945454545454545</v>
      </c>
    </row>
    <row r="951" spans="2:19" ht="12.75">
      <c r="B951" s="94">
        <f t="shared" si="84"/>
        <v>405</v>
      </c>
      <c r="C951" s="3"/>
      <c r="D951" s="3"/>
      <c r="E951" s="3"/>
      <c r="F951" s="92" t="s">
        <v>162</v>
      </c>
      <c r="G951" s="93">
        <v>640</v>
      </c>
      <c r="H951" s="3" t="s">
        <v>132</v>
      </c>
      <c r="I951" s="70">
        <v>500</v>
      </c>
      <c r="J951" s="70">
        <v>216</v>
      </c>
      <c r="K951" s="190">
        <f t="shared" si="80"/>
        <v>43.2</v>
      </c>
      <c r="L951" s="177"/>
      <c r="M951" s="70"/>
      <c r="N951" s="70"/>
      <c r="O951" s="189"/>
      <c r="P951" s="177"/>
      <c r="Q951" s="70">
        <f t="shared" si="81"/>
        <v>500</v>
      </c>
      <c r="R951" s="70">
        <f t="shared" si="82"/>
        <v>216</v>
      </c>
      <c r="S951" s="188">
        <f t="shared" si="83"/>
        <v>43.2</v>
      </c>
    </row>
    <row r="952" spans="2:19" ht="15">
      <c r="B952" s="94">
        <f t="shared" si="84"/>
        <v>406</v>
      </c>
      <c r="C952" s="12"/>
      <c r="D952" s="12"/>
      <c r="E952" s="12">
        <v>4</v>
      </c>
      <c r="F952" s="35"/>
      <c r="G952" s="43"/>
      <c r="H952" s="12" t="s">
        <v>82</v>
      </c>
      <c r="I952" s="82">
        <f>I953</f>
        <v>20738</v>
      </c>
      <c r="J952" s="82">
        <f>J953</f>
        <v>8509</v>
      </c>
      <c r="K952" s="190">
        <f t="shared" si="80"/>
        <v>41.030957662262516</v>
      </c>
      <c r="L952" s="182"/>
      <c r="M952" s="82"/>
      <c r="N952" s="82"/>
      <c r="O952" s="189"/>
      <c r="P952" s="182"/>
      <c r="Q952" s="82">
        <f t="shared" si="81"/>
        <v>20738</v>
      </c>
      <c r="R952" s="82">
        <f t="shared" si="82"/>
        <v>8509</v>
      </c>
      <c r="S952" s="188">
        <f t="shared" si="83"/>
        <v>41.030957662262516</v>
      </c>
    </row>
    <row r="953" spans="2:19" ht="12.75">
      <c r="B953" s="94">
        <f t="shared" si="84"/>
        <v>407</v>
      </c>
      <c r="C953" s="8"/>
      <c r="D953" s="8"/>
      <c r="E953" s="8"/>
      <c r="F953" s="37"/>
      <c r="G953" s="45"/>
      <c r="H953" s="8" t="s">
        <v>90</v>
      </c>
      <c r="I953" s="85">
        <f>I954+I955+I956</f>
        <v>20738</v>
      </c>
      <c r="J953" s="85">
        <f>J954+J955+J956</f>
        <v>8509</v>
      </c>
      <c r="K953" s="190">
        <f t="shared" si="80"/>
        <v>41.030957662262516</v>
      </c>
      <c r="L953" s="177"/>
      <c r="M953" s="85"/>
      <c r="N953" s="85"/>
      <c r="O953" s="189"/>
      <c r="P953" s="177"/>
      <c r="Q953" s="85">
        <f t="shared" si="81"/>
        <v>20738</v>
      </c>
      <c r="R953" s="85">
        <f t="shared" si="82"/>
        <v>8509</v>
      </c>
      <c r="S953" s="188">
        <f t="shared" si="83"/>
        <v>41.030957662262516</v>
      </c>
    </row>
    <row r="954" spans="2:19" ht="12.75">
      <c r="B954" s="94">
        <f t="shared" si="84"/>
        <v>408</v>
      </c>
      <c r="C954" s="3"/>
      <c r="D954" s="3"/>
      <c r="E954" s="3"/>
      <c r="F954" s="92" t="s">
        <v>162</v>
      </c>
      <c r="G954" s="93">
        <v>610</v>
      </c>
      <c r="H954" s="3" t="s">
        <v>134</v>
      </c>
      <c r="I954" s="70">
        <v>14189</v>
      </c>
      <c r="J954" s="70">
        <v>6162</v>
      </c>
      <c r="K954" s="190">
        <f t="shared" si="80"/>
        <v>43.428007611530056</v>
      </c>
      <c r="L954" s="177"/>
      <c r="M954" s="70"/>
      <c r="N954" s="70"/>
      <c r="O954" s="189"/>
      <c r="P954" s="177"/>
      <c r="Q954" s="70">
        <f t="shared" si="81"/>
        <v>14189</v>
      </c>
      <c r="R954" s="70">
        <f t="shared" si="82"/>
        <v>6162</v>
      </c>
      <c r="S954" s="188">
        <f t="shared" si="83"/>
        <v>43.428007611530056</v>
      </c>
    </row>
    <row r="955" spans="2:19" ht="12.75">
      <c r="B955" s="94">
        <f t="shared" si="84"/>
        <v>409</v>
      </c>
      <c r="C955" s="3"/>
      <c r="D955" s="3"/>
      <c r="E955" s="3"/>
      <c r="F955" s="92" t="s">
        <v>162</v>
      </c>
      <c r="G955" s="93">
        <v>620</v>
      </c>
      <c r="H955" s="3" t="s">
        <v>128</v>
      </c>
      <c r="I955" s="70">
        <v>5243</v>
      </c>
      <c r="J955" s="70">
        <v>2298</v>
      </c>
      <c r="K955" s="190">
        <f t="shared" si="80"/>
        <v>43.82986839595651</v>
      </c>
      <c r="L955" s="177"/>
      <c r="M955" s="70"/>
      <c r="N955" s="70"/>
      <c r="O955" s="189"/>
      <c r="P955" s="177"/>
      <c r="Q955" s="70">
        <f t="shared" si="81"/>
        <v>5243</v>
      </c>
      <c r="R955" s="70">
        <f t="shared" si="82"/>
        <v>2298</v>
      </c>
      <c r="S955" s="188">
        <f t="shared" si="83"/>
        <v>43.82986839595651</v>
      </c>
    </row>
    <row r="956" spans="2:19" ht="12.75">
      <c r="B956" s="94">
        <f t="shared" si="84"/>
        <v>410</v>
      </c>
      <c r="C956" s="3"/>
      <c r="D956" s="3"/>
      <c r="E956" s="3"/>
      <c r="F956" s="92" t="s">
        <v>162</v>
      </c>
      <c r="G956" s="93">
        <v>630</v>
      </c>
      <c r="H956" s="3" t="s">
        <v>125</v>
      </c>
      <c r="I956" s="70">
        <f>SUM(I957:I959)</f>
        <v>1306</v>
      </c>
      <c r="J956" s="70">
        <f>SUM(J957:J959)</f>
        <v>49</v>
      </c>
      <c r="K956" s="190">
        <f t="shared" si="80"/>
        <v>3.7519142419601836</v>
      </c>
      <c r="L956" s="177"/>
      <c r="M956" s="70"/>
      <c r="N956" s="70"/>
      <c r="O956" s="189"/>
      <c r="P956" s="177"/>
      <c r="Q956" s="70">
        <f t="shared" si="81"/>
        <v>1306</v>
      </c>
      <c r="R956" s="70">
        <f t="shared" si="82"/>
        <v>49</v>
      </c>
      <c r="S956" s="188">
        <f t="shared" si="83"/>
        <v>3.7519142419601836</v>
      </c>
    </row>
    <row r="957" spans="2:19" ht="12.75">
      <c r="B957" s="94">
        <f t="shared" si="84"/>
        <v>411</v>
      </c>
      <c r="C957" s="4"/>
      <c r="D957" s="4"/>
      <c r="E957" s="4"/>
      <c r="F957" s="32" t="s">
        <v>162</v>
      </c>
      <c r="G957" s="41">
        <v>632</v>
      </c>
      <c r="H957" s="4" t="s">
        <v>138</v>
      </c>
      <c r="I957" s="71">
        <v>620</v>
      </c>
      <c r="J957" s="71">
        <v>0</v>
      </c>
      <c r="K957" s="190">
        <f t="shared" si="80"/>
        <v>0</v>
      </c>
      <c r="L957" s="178"/>
      <c r="M957" s="71"/>
      <c r="N957" s="71"/>
      <c r="O957" s="189"/>
      <c r="P957" s="178"/>
      <c r="Q957" s="71">
        <f t="shared" si="81"/>
        <v>620</v>
      </c>
      <c r="R957" s="71">
        <f t="shared" si="82"/>
        <v>0</v>
      </c>
      <c r="S957" s="188">
        <f t="shared" si="83"/>
        <v>0</v>
      </c>
    </row>
    <row r="958" spans="2:19" ht="12.75">
      <c r="B958" s="94">
        <f t="shared" si="84"/>
        <v>412</v>
      </c>
      <c r="C958" s="4"/>
      <c r="D958" s="4"/>
      <c r="E958" s="4"/>
      <c r="F958" s="32" t="s">
        <v>162</v>
      </c>
      <c r="G958" s="41">
        <v>633</v>
      </c>
      <c r="H958" s="4" t="s">
        <v>129</v>
      </c>
      <c r="I958" s="71">
        <v>500</v>
      </c>
      <c r="J958" s="71">
        <v>0</v>
      </c>
      <c r="K958" s="190">
        <f t="shared" si="80"/>
        <v>0</v>
      </c>
      <c r="L958" s="178"/>
      <c r="M958" s="71"/>
      <c r="N958" s="71"/>
      <c r="O958" s="189"/>
      <c r="P958" s="178"/>
      <c r="Q958" s="71">
        <f t="shared" si="81"/>
        <v>500</v>
      </c>
      <c r="R958" s="71">
        <f t="shared" si="82"/>
        <v>0</v>
      </c>
      <c r="S958" s="188">
        <f t="shared" si="83"/>
        <v>0</v>
      </c>
    </row>
    <row r="959" spans="2:19" ht="12.75">
      <c r="B959" s="94">
        <f t="shared" si="84"/>
        <v>413</v>
      </c>
      <c r="C959" s="4"/>
      <c r="D959" s="4"/>
      <c r="E959" s="4"/>
      <c r="F959" s="32" t="s">
        <v>162</v>
      </c>
      <c r="G959" s="41">
        <v>637</v>
      </c>
      <c r="H959" s="4" t="s">
        <v>126</v>
      </c>
      <c r="I959" s="71">
        <v>186</v>
      </c>
      <c r="J959" s="71">
        <v>49</v>
      </c>
      <c r="K959" s="190">
        <f t="shared" si="80"/>
        <v>26.344086021505376</v>
      </c>
      <c r="L959" s="178"/>
      <c r="M959" s="71"/>
      <c r="N959" s="71"/>
      <c r="O959" s="189"/>
      <c r="P959" s="178"/>
      <c r="Q959" s="71">
        <f t="shared" si="81"/>
        <v>186</v>
      </c>
      <c r="R959" s="71">
        <f t="shared" si="82"/>
        <v>49</v>
      </c>
      <c r="S959" s="188">
        <f t="shared" si="83"/>
        <v>26.344086021505376</v>
      </c>
    </row>
    <row r="960" spans="2:19" ht="15">
      <c r="B960" s="94">
        <f t="shared" si="84"/>
        <v>414</v>
      </c>
      <c r="C960" s="12"/>
      <c r="D960" s="12"/>
      <c r="E960" s="12">
        <v>6</v>
      </c>
      <c r="F960" s="35"/>
      <c r="G960" s="43"/>
      <c r="H960" s="12" t="s">
        <v>10</v>
      </c>
      <c r="I960" s="82">
        <f>I961+I962+I963+I968</f>
        <v>175437</v>
      </c>
      <c r="J960" s="82">
        <f>J961+J962+J963+J968</f>
        <v>70241</v>
      </c>
      <c r="K960" s="190">
        <f t="shared" si="80"/>
        <v>40.037734343382525</v>
      </c>
      <c r="L960" s="182"/>
      <c r="M960" s="82"/>
      <c r="N960" s="82"/>
      <c r="O960" s="189"/>
      <c r="P960" s="182"/>
      <c r="Q960" s="82">
        <f t="shared" si="81"/>
        <v>175437</v>
      </c>
      <c r="R960" s="82">
        <f t="shared" si="82"/>
        <v>70241</v>
      </c>
      <c r="S960" s="188">
        <f t="shared" si="83"/>
        <v>40.037734343382525</v>
      </c>
    </row>
    <row r="961" spans="2:19" ht="12.75">
      <c r="B961" s="94">
        <f t="shared" si="84"/>
        <v>415</v>
      </c>
      <c r="C961" s="3"/>
      <c r="D961" s="3"/>
      <c r="E961" s="3"/>
      <c r="F961" s="92" t="s">
        <v>162</v>
      </c>
      <c r="G961" s="93">
        <v>610</v>
      </c>
      <c r="H961" s="3" t="s">
        <v>134</v>
      </c>
      <c r="I961" s="70">
        <v>115001</v>
      </c>
      <c r="J961" s="70">
        <v>41453</v>
      </c>
      <c r="K961" s="190">
        <f t="shared" si="80"/>
        <v>36.04577351501291</v>
      </c>
      <c r="L961" s="177"/>
      <c r="M961" s="70"/>
      <c r="N961" s="70"/>
      <c r="O961" s="189"/>
      <c r="P961" s="177"/>
      <c r="Q961" s="70">
        <f t="shared" si="81"/>
        <v>115001</v>
      </c>
      <c r="R961" s="70">
        <f t="shared" si="82"/>
        <v>41453</v>
      </c>
      <c r="S961" s="188">
        <f t="shared" si="83"/>
        <v>36.04577351501291</v>
      </c>
    </row>
    <row r="962" spans="2:19" ht="12.75">
      <c r="B962" s="94">
        <f t="shared" si="84"/>
        <v>416</v>
      </c>
      <c r="C962" s="3"/>
      <c r="D962" s="3"/>
      <c r="E962" s="3"/>
      <c r="F962" s="92" t="s">
        <v>162</v>
      </c>
      <c r="G962" s="93">
        <v>620</v>
      </c>
      <c r="H962" s="3" t="s">
        <v>128</v>
      </c>
      <c r="I962" s="70">
        <v>40194</v>
      </c>
      <c r="J962" s="70">
        <v>14486</v>
      </c>
      <c r="K962" s="190">
        <f t="shared" si="80"/>
        <v>36.04020500572225</v>
      </c>
      <c r="L962" s="177"/>
      <c r="M962" s="70"/>
      <c r="N962" s="70"/>
      <c r="O962" s="189"/>
      <c r="P962" s="177"/>
      <c r="Q962" s="70">
        <f t="shared" si="81"/>
        <v>40194</v>
      </c>
      <c r="R962" s="70">
        <f t="shared" si="82"/>
        <v>14486</v>
      </c>
      <c r="S962" s="188">
        <f t="shared" si="83"/>
        <v>36.04020500572225</v>
      </c>
    </row>
    <row r="963" spans="2:19" ht="12.75">
      <c r="B963" s="94">
        <f t="shared" si="84"/>
        <v>417</v>
      </c>
      <c r="C963" s="3"/>
      <c r="D963" s="3"/>
      <c r="E963" s="3"/>
      <c r="F963" s="92" t="s">
        <v>162</v>
      </c>
      <c r="G963" s="93">
        <v>630</v>
      </c>
      <c r="H963" s="3" t="s">
        <v>125</v>
      </c>
      <c r="I963" s="70">
        <f>SUM(I964:I967)</f>
        <v>19830</v>
      </c>
      <c r="J963" s="70">
        <f>SUM(J964:J967)</f>
        <v>13813</v>
      </c>
      <c r="K963" s="190">
        <f t="shared" si="80"/>
        <v>69.65708522440747</v>
      </c>
      <c r="L963" s="177"/>
      <c r="M963" s="70"/>
      <c r="N963" s="70"/>
      <c r="O963" s="189"/>
      <c r="P963" s="177"/>
      <c r="Q963" s="70">
        <f t="shared" si="81"/>
        <v>19830</v>
      </c>
      <c r="R963" s="70">
        <f t="shared" si="82"/>
        <v>13813</v>
      </c>
      <c r="S963" s="188">
        <f t="shared" si="83"/>
        <v>69.65708522440747</v>
      </c>
    </row>
    <row r="964" spans="2:19" ht="12.75">
      <c r="B964" s="94">
        <f t="shared" si="84"/>
        <v>418</v>
      </c>
      <c r="C964" s="4"/>
      <c r="D964" s="4"/>
      <c r="E964" s="4"/>
      <c r="F964" s="32" t="s">
        <v>162</v>
      </c>
      <c r="G964" s="41">
        <v>632</v>
      </c>
      <c r="H964" s="4" t="s">
        <v>138</v>
      </c>
      <c r="I964" s="71">
        <v>13010</v>
      </c>
      <c r="J964" s="71">
        <v>9208</v>
      </c>
      <c r="K964" s="190">
        <f t="shared" si="80"/>
        <v>70.77632590315143</v>
      </c>
      <c r="L964" s="178"/>
      <c r="M964" s="71"/>
      <c r="N964" s="71"/>
      <c r="O964" s="189"/>
      <c r="P964" s="178"/>
      <c r="Q964" s="71">
        <f t="shared" si="81"/>
        <v>13010</v>
      </c>
      <c r="R964" s="71">
        <f t="shared" si="82"/>
        <v>9208</v>
      </c>
      <c r="S964" s="188">
        <f t="shared" si="83"/>
        <v>70.77632590315143</v>
      </c>
    </row>
    <row r="965" spans="2:19" ht="12.75">
      <c r="B965" s="94">
        <f t="shared" si="84"/>
        <v>419</v>
      </c>
      <c r="C965" s="4"/>
      <c r="D965" s="4"/>
      <c r="E965" s="4"/>
      <c r="F965" s="32" t="s">
        <v>162</v>
      </c>
      <c r="G965" s="41">
        <v>633</v>
      </c>
      <c r="H965" s="4" t="s">
        <v>129</v>
      </c>
      <c r="I965" s="71">
        <v>4027</v>
      </c>
      <c r="J965" s="71">
        <v>2590</v>
      </c>
      <c r="K965" s="190">
        <f t="shared" si="80"/>
        <v>64.31586789173082</v>
      </c>
      <c r="L965" s="178"/>
      <c r="M965" s="71"/>
      <c r="N965" s="71"/>
      <c r="O965" s="189"/>
      <c r="P965" s="178"/>
      <c r="Q965" s="71">
        <f t="shared" si="81"/>
        <v>4027</v>
      </c>
      <c r="R965" s="71">
        <f t="shared" si="82"/>
        <v>2590</v>
      </c>
      <c r="S965" s="188">
        <f t="shared" si="83"/>
        <v>64.31586789173082</v>
      </c>
    </row>
    <row r="966" spans="2:19" ht="12.75">
      <c r="B966" s="94">
        <f t="shared" si="84"/>
        <v>420</v>
      </c>
      <c r="C966" s="4"/>
      <c r="D966" s="4"/>
      <c r="E966" s="4"/>
      <c r="F966" s="32" t="s">
        <v>162</v>
      </c>
      <c r="G966" s="41">
        <v>635</v>
      </c>
      <c r="H966" s="4" t="s">
        <v>136</v>
      </c>
      <c r="I966" s="71">
        <v>500</v>
      </c>
      <c r="J966" s="164">
        <v>1233</v>
      </c>
      <c r="K966" s="190">
        <f t="shared" si="80"/>
        <v>246.60000000000002</v>
      </c>
      <c r="L966" s="178"/>
      <c r="M966" s="71"/>
      <c r="N966" s="71"/>
      <c r="O966" s="189"/>
      <c r="P966" s="178"/>
      <c r="Q966" s="71">
        <f t="shared" si="81"/>
        <v>500</v>
      </c>
      <c r="R966" s="71">
        <f t="shared" si="82"/>
        <v>1233</v>
      </c>
      <c r="S966" s="188">
        <f t="shared" si="83"/>
        <v>246.60000000000002</v>
      </c>
    </row>
    <row r="967" spans="2:19" ht="12.75">
      <c r="B967" s="94">
        <f t="shared" si="84"/>
        <v>421</v>
      </c>
      <c r="C967" s="4"/>
      <c r="D967" s="4"/>
      <c r="E967" s="4"/>
      <c r="F967" s="32" t="s">
        <v>162</v>
      </c>
      <c r="G967" s="41">
        <v>637</v>
      </c>
      <c r="H967" s="4" t="s">
        <v>126</v>
      </c>
      <c r="I967" s="71">
        <v>2293</v>
      </c>
      <c r="J967" s="71">
        <v>782</v>
      </c>
      <c r="K967" s="190">
        <f t="shared" si="80"/>
        <v>34.10379415612734</v>
      </c>
      <c r="L967" s="178"/>
      <c r="M967" s="71"/>
      <c r="N967" s="71"/>
      <c r="O967" s="189"/>
      <c r="P967" s="178"/>
      <c r="Q967" s="71">
        <f t="shared" si="81"/>
        <v>2293</v>
      </c>
      <c r="R967" s="71">
        <f t="shared" si="82"/>
        <v>782</v>
      </c>
      <c r="S967" s="188">
        <f t="shared" si="83"/>
        <v>34.10379415612734</v>
      </c>
    </row>
    <row r="968" spans="2:19" ht="12.75">
      <c r="B968" s="94">
        <f t="shared" si="84"/>
        <v>422</v>
      </c>
      <c r="C968" s="3"/>
      <c r="D968" s="3"/>
      <c r="E968" s="3"/>
      <c r="F968" s="92" t="s">
        <v>162</v>
      </c>
      <c r="G968" s="93">
        <v>640</v>
      </c>
      <c r="H968" s="3" t="s">
        <v>132</v>
      </c>
      <c r="I968" s="70">
        <v>412</v>
      </c>
      <c r="J968" s="70">
        <v>489</v>
      </c>
      <c r="K968" s="190">
        <f t="shared" si="80"/>
        <v>118.68932038834951</v>
      </c>
      <c r="L968" s="177"/>
      <c r="M968" s="70"/>
      <c r="N968" s="70"/>
      <c r="O968" s="189"/>
      <c r="P968" s="177"/>
      <c r="Q968" s="70">
        <f t="shared" si="81"/>
        <v>412</v>
      </c>
      <c r="R968" s="70">
        <f t="shared" si="82"/>
        <v>489</v>
      </c>
      <c r="S968" s="188">
        <f t="shared" si="83"/>
        <v>118.68932038834951</v>
      </c>
    </row>
    <row r="969" spans="2:21" ht="15">
      <c r="B969" s="94">
        <f t="shared" si="84"/>
        <v>423</v>
      </c>
      <c r="C969" s="12"/>
      <c r="D969" s="12"/>
      <c r="E969" s="12">
        <v>7</v>
      </c>
      <c r="F969" s="35"/>
      <c r="G969" s="43"/>
      <c r="H969" s="12" t="s">
        <v>11</v>
      </c>
      <c r="I969" s="82">
        <f>I970+I971+I972+I976</f>
        <v>188228</v>
      </c>
      <c r="J969" s="82">
        <f>J970+J971+J972+J976</f>
        <v>67581</v>
      </c>
      <c r="K969" s="190">
        <f t="shared" si="80"/>
        <v>35.90379752215399</v>
      </c>
      <c r="L969" s="182"/>
      <c r="M969" s="82"/>
      <c r="N969" s="82"/>
      <c r="O969" s="189"/>
      <c r="P969" s="182"/>
      <c r="Q969" s="82">
        <f t="shared" si="81"/>
        <v>188228</v>
      </c>
      <c r="R969" s="82">
        <f t="shared" si="82"/>
        <v>67581</v>
      </c>
      <c r="S969" s="188">
        <f t="shared" si="83"/>
        <v>35.90379752215399</v>
      </c>
      <c r="U969" s="16">
        <f>J969-67581</f>
        <v>0</v>
      </c>
    </row>
    <row r="970" spans="2:19" ht="12.75">
      <c r="B970" s="94">
        <f t="shared" si="84"/>
        <v>424</v>
      </c>
      <c r="C970" s="3"/>
      <c r="D970" s="3"/>
      <c r="E970" s="3"/>
      <c r="F970" s="92" t="s">
        <v>162</v>
      </c>
      <c r="G970" s="93">
        <v>610</v>
      </c>
      <c r="H970" s="3" t="s">
        <v>134</v>
      </c>
      <c r="I970" s="70">
        <v>128955</v>
      </c>
      <c r="J970" s="70">
        <v>48973</v>
      </c>
      <c r="K970" s="190">
        <f t="shared" si="80"/>
        <v>37.97681361715327</v>
      </c>
      <c r="L970" s="177"/>
      <c r="M970" s="70"/>
      <c r="N970" s="70"/>
      <c r="O970" s="189"/>
      <c r="P970" s="177"/>
      <c r="Q970" s="70">
        <f t="shared" si="81"/>
        <v>128955</v>
      </c>
      <c r="R970" s="70">
        <f t="shared" si="82"/>
        <v>48973</v>
      </c>
      <c r="S970" s="188">
        <f t="shared" si="83"/>
        <v>37.97681361715327</v>
      </c>
    </row>
    <row r="971" spans="2:19" ht="12.75">
      <c r="B971" s="94">
        <f t="shared" si="84"/>
        <v>425</v>
      </c>
      <c r="C971" s="3"/>
      <c r="D971" s="3"/>
      <c r="E971" s="3"/>
      <c r="F971" s="92" t="s">
        <v>162</v>
      </c>
      <c r="G971" s="93">
        <v>620</v>
      </c>
      <c r="H971" s="3" t="s">
        <v>128</v>
      </c>
      <c r="I971" s="70">
        <v>47837</v>
      </c>
      <c r="J971" s="70">
        <v>18018</v>
      </c>
      <c r="K971" s="190">
        <f t="shared" si="80"/>
        <v>37.66540543930431</v>
      </c>
      <c r="L971" s="177"/>
      <c r="M971" s="70"/>
      <c r="N971" s="70"/>
      <c r="O971" s="189"/>
      <c r="P971" s="177"/>
      <c r="Q971" s="70">
        <f t="shared" si="81"/>
        <v>47837</v>
      </c>
      <c r="R971" s="70">
        <f t="shared" si="82"/>
        <v>18018</v>
      </c>
      <c r="S971" s="188">
        <f t="shared" si="83"/>
        <v>37.66540543930431</v>
      </c>
    </row>
    <row r="972" spans="2:19" ht="12.75">
      <c r="B972" s="94">
        <f t="shared" si="84"/>
        <v>426</v>
      </c>
      <c r="C972" s="3"/>
      <c r="D972" s="3"/>
      <c r="E972" s="3"/>
      <c r="F972" s="92" t="s">
        <v>162</v>
      </c>
      <c r="G972" s="93">
        <v>630</v>
      </c>
      <c r="H972" s="3" t="s">
        <v>125</v>
      </c>
      <c r="I972" s="70">
        <f>SUM(I973:I975)</f>
        <v>9166</v>
      </c>
      <c r="J972" s="70">
        <f>SUM(J973:J975)</f>
        <v>422</v>
      </c>
      <c r="K972" s="190">
        <f t="shared" si="80"/>
        <v>4.603971197905302</v>
      </c>
      <c r="L972" s="177"/>
      <c r="M972" s="70"/>
      <c r="N972" s="70"/>
      <c r="O972" s="189"/>
      <c r="P972" s="177"/>
      <c r="Q972" s="70">
        <f t="shared" si="81"/>
        <v>9166</v>
      </c>
      <c r="R972" s="70">
        <f t="shared" si="82"/>
        <v>422</v>
      </c>
      <c r="S972" s="188">
        <f t="shared" si="83"/>
        <v>4.603971197905302</v>
      </c>
    </row>
    <row r="973" spans="2:19" ht="12.75">
      <c r="B973" s="94">
        <f t="shared" si="84"/>
        <v>427</v>
      </c>
      <c r="C973" s="4"/>
      <c r="D973" s="4"/>
      <c r="E973" s="4"/>
      <c r="F973" s="32" t="s">
        <v>162</v>
      </c>
      <c r="G973" s="41">
        <v>632</v>
      </c>
      <c r="H973" s="4" t="s">
        <v>138</v>
      </c>
      <c r="I973" s="71">
        <v>4294</v>
      </c>
      <c r="J973" s="71">
        <v>0</v>
      </c>
      <c r="K973" s="190">
        <f t="shared" si="80"/>
        <v>0</v>
      </c>
      <c r="L973" s="178"/>
      <c r="M973" s="71"/>
      <c r="N973" s="71"/>
      <c r="O973" s="189"/>
      <c r="P973" s="178"/>
      <c r="Q973" s="71">
        <f t="shared" si="81"/>
        <v>4294</v>
      </c>
      <c r="R973" s="71">
        <f t="shared" si="82"/>
        <v>0</v>
      </c>
      <c r="S973" s="188">
        <f t="shared" si="83"/>
        <v>0</v>
      </c>
    </row>
    <row r="974" spans="2:19" ht="12.75">
      <c r="B974" s="94">
        <f t="shared" si="84"/>
        <v>428</v>
      </c>
      <c r="C974" s="4"/>
      <c r="D974" s="4"/>
      <c r="E974" s="4"/>
      <c r="F974" s="32" t="s">
        <v>162</v>
      </c>
      <c r="G974" s="41">
        <v>633</v>
      </c>
      <c r="H974" s="4" t="s">
        <v>129</v>
      </c>
      <c r="I974" s="71">
        <v>2372</v>
      </c>
      <c r="J974" s="71">
        <v>0</v>
      </c>
      <c r="K974" s="190">
        <f t="shared" si="80"/>
        <v>0</v>
      </c>
      <c r="L974" s="178"/>
      <c r="M974" s="71"/>
      <c r="N974" s="71"/>
      <c r="O974" s="189"/>
      <c r="P974" s="178"/>
      <c r="Q974" s="71">
        <f t="shared" si="81"/>
        <v>2372</v>
      </c>
      <c r="R974" s="71">
        <f t="shared" si="82"/>
        <v>0</v>
      </c>
      <c r="S974" s="188">
        <f t="shared" si="83"/>
        <v>0</v>
      </c>
    </row>
    <row r="975" spans="2:19" ht="12.75">
      <c r="B975" s="94">
        <f t="shared" si="84"/>
        <v>429</v>
      </c>
      <c r="C975" s="4"/>
      <c r="D975" s="4"/>
      <c r="E975" s="4"/>
      <c r="F975" s="32" t="s">
        <v>162</v>
      </c>
      <c r="G975" s="41">
        <v>637</v>
      </c>
      <c r="H975" s="4" t="s">
        <v>126</v>
      </c>
      <c r="I975" s="71">
        <v>2500</v>
      </c>
      <c r="J975" s="71">
        <v>422</v>
      </c>
      <c r="K975" s="190">
        <f t="shared" si="80"/>
        <v>16.88</v>
      </c>
      <c r="L975" s="178"/>
      <c r="M975" s="71"/>
      <c r="N975" s="71"/>
      <c r="O975" s="189"/>
      <c r="P975" s="178"/>
      <c r="Q975" s="71">
        <f t="shared" si="81"/>
        <v>2500</v>
      </c>
      <c r="R975" s="71">
        <f t="shared" si="82"/>
        <v>422</v>
      </c>
      <c r="S975" s="188">
        <f t="shared" si="83"/>
        <v>16.88</v>
      </c>
    </row>
    <row r="976" spans="2:19" ht="12.75">
      <c r="B976" s="94">
        <f t="shared" si="84"/>
        <v>430</v>
      </c>
      <c r="C976" s="3"/>
      <c r="D976" s="3"/>
      <c r="E976" s="3"/>
      <c r="F976" s="92" t="s">
        <v>162</v>
      </c>
      <c r="G976" s="93">
        <v>640</v>
      </c>
      <c r="H976" s="3" t="s">
        <v>132</v>
      </c>
      <c r="I976" s="70">
        <v>2270</v>
      </c>
      <c r="J976" s="70">
        <v>168</v>
      </c>
      <c r="K976" s="190">
        <f t="shared" si="80"/>
        <v>7.400881057268722</v>
      </c>
      <c r="L976" s="177"/>
      <c r="M976" s="70"/>
      <c r="N976" s="70"/>
      <c r="O976" s="189"/>
      <c r="P976" s="177"/>
      <c r="Q976" s="70">
        <f t="shared" si="81"/>
        <v>2270</v>
      </c>
      <c r="R976" s="70">
        <f t="shared" si="82"/>
        <v>168</v>
      </c>
      <c r="S976" s="188">
        <f t="shared" si="83"/>
        <v>7.400881057268722</v>
      </c>
    </row>
    <row r="977" spans="2:19" ht="15">
      <c r="B977" s="94">
        <f t="shared" si="84"/>
        <v>431</v>
      </c>
      <c r="C977" s="12"/>
      <c r="D977" s="12"/>
      <c r="E977" s="12">
        <v>8</v>
      </c>
      <c r="F977" s="35"/>
      <c r="G977" s="43"/>
      <c r="H977" s="12" t="s">
        <v>8</v>
      </c>
      <c r="I977" s="82">
        <f>I978+I979+I980+I985</f>
        <v>348730</v>
      </c>
      <c r="J977" s="82">
        <f>J978+J979+J980+J985</f>
        <v>135297</v>
      </c>
      <c r="K977" s="190">
        <f t="shared" si="80"/>
        <v>38.79706363088923</v>
      </c>
      <c r="L977" s="182"/>
      <c r="M977" s="82"/>
      <c r="N977" s="82"/>
      <c r="O977" s="189"/>
      <c r="P977" s="182"/>
      <c r="Q977" s="82">
        <f t="shared" si="81"/>
        <v>348730</v>
      </c>
      <c r="R977" s="82">
        <f t="shared" si="82"/>
        <v>135297</v>
      </c>
      <c r="S977" s="188">
        <f t="shared" si="83"/>
        <v>38.79706363088923</v>
      </c>
    </row>
    <row r="978" spans="2:19" ht="12.75">
      <c r="B978" s="94">
        <f t="shared" si="84"/>
        <v>432</v>
      </c>
      <c r="C978" s="3"/>
      <c r="D978" s="3"/>
      <c r="E978" s="3"/>
      <c r="F978" s="92" t="s">
        <v>162</v>
      </c>
      <c r="G978" s="93">
        <v>610</v>
      </c>
      <c r="H978" s="3" t="s">
        <v>134</v>
      </c>
      <c r="I978" s="70">
        <v>231000</v>
      </c>
      <c r="J978" s="70">
        <v>89542</v>
      </c>
      <c r="K978" s="190">
        <f t="shared" si="80"/>
        <v>38.76277056277056</v>
      </c>
      <c r="L978" s="177"/>
      <c r="M978" s="70"/>
      <c r="N978" s="70"/>
      <c r="O978" s="189"/>
      <c r="P978" s="177"/>
      <c r="Q978" s="70">
        <f t="shared" si="81"/>
        <v>231000</v>
      </c>
      <c r="R978" s="70">
        <f t="shared" si="82"/>
        <v>89542</v>
      </c>
      <c r="S978" s="188">
        <f t="shared" si="83"/>
        <v>38.76277056277056</v>
      </c>
    </row>
    <row r="979" spans="2:19" ht="12.75">
      <c r="B979" s="94">
        <f t="shared" si="84"/>
        <v>433</v>
      </c>
      <c r="C979" s="3"/>
      <c r="D979" s="3"/>
      <c r="E979" s="3"/>
      <c r="F979" s="92" t="s">
        <v>162</v>
      </c>
      <c r="G979" s="93">
        <v>620</v>
      </c>
      <c r="H979" s="3" t="s">
        <v>128</v>
      </c>
      <c r="I979" s="70">
        <v>80850</v>
      </c>
      <c r="J979" s="70">
        <v>32101</v>
      </c>
      <c r="K979" s="190">
        <f t="shared" si="80"/>
        <v>39.704390847247986</v>
      </c>
      <c r="L979" s="177"/>
      <c r="M979" s="70"/>
      <c r="N979" s="70"/>
      <c r="O979" s="189"/>
      <c r="P979" s="177"/>
      <c r="Q979" s="70">
        <f t="shared" si="81"/>
        <v>80850</v>
      </c>
      <c r="R979" s="70">
        <f t="shared" si="82"/>
        <v>32101</v>
      </c>
      <c r="S979" s="188">
        <f t="shared" si="83"/>
        <v>39.704390847247986</v>
      </c>
    </row>
    <row r="980" spans="2:19" ht="12.75">
      <c r="B980" s="94">
        <f t="shared" si="84"/>
        <v>434</v>
      </c>
      <c r="C980" s="3"/>
      <c r="D980" s="3"/>
      <c r="E980" s="3"/>
      <c r="F980" s="92" t="s">
        <v>162</v>
      </c>
      <c r="G980" s="93">
        <v>630</v>
      </c>
      <c r="H980" s="3" t="s">
        <v>125</v>
      </c>
      <c r="I980" s="70">
        <f>SUM(I981:I984)</f>
        <v>35680</v>
      </c>
      <c r="J980" s="70">
        <f>SUM(J981:J984)</f>
        <v>13303</v>
      </c>
      <c r="K980" s="190">
        <f t="shared" si="80"/>
        <v>37.28419282511211</v>
      </c>
      <c r="L980" s="177"/>
      <c r="M980" s="70"/>
      <c r="N980" s="70"/>
      <c r="O980" s="189"/>
      <c r="P980" s="177"/>
      <c r="Q980" s="70">
        <f t="shared" si="81"/>
        <v>35680</v>
      </c>
      <c r="R980" s="70">
        <f t="shared" si="82"/>
        <v>13303</v>
      </c>
      <c r="S980" s="188">
        <f t="shared" si="83"/>
        <v>37.28419282511211</v>
      </c>
    </row>
    <row r="981" spans="2:19" ht="12.75">
      <c r="B981" s="94">
        <f t="shared" si="84"/>
        <v>435</v>
      </c>
      <c r="C981" s="4"/>
      <c r="D981" s="4"/>
      <c r="E981" s="4"/>
      <c r="F981" s="32" t="s">
        <v>162</v>
      </c>
      <c r="G981" s="41">
        <v>632</v>
      </c>
      <c r="H981" s="4" t="s">
        <v>138</v>
      </c>
      <c r="I981" s="71">
        <v>15600</v>
      </c>
      <c r="J981" s="71">
        <v>9804</v>
      </c>
      <c r="K981" s="190">
        <f t="shared" si="80"/>
        <v>62.846153846153854</v>
      </c>
      <c r="L981" s="178"/>
      <c r="M981" s="71"/>
      <c r="N981" s="71"/>
      <c r="O981" s="189"/>
      <c r="P981" s="178"/>
      <c r="Q981" s="71">
        <f t="shared" si="81"/>
        <v>15600</v>
      </c>
      <c r="R981" s="71">
        <f t="shared" si="82"/>
        <v>9804</v>
      </c>
      <c r="S981" s="188">
        <f t="shared" si="83"/>
        <v>62.846153846153854</v>
      </c>
    </row>
    <row r="982" spans="2:19" ht="12.75">
      <c r="B982" s="94">
        <f t="shared" si="84"/>
        <v>436</v>
      </c>
      <c r="C982" s="4"/>
      <c r="D982" s="4"/>
      <c r="E982" s="4"/>
      <c r="F982" s="32" t="s">
        <v>162</v>
      </c>
      <c r="G982" s="41">
        <v>633</v>
      </c>
      <c r="H982" s="4" t="s">
        <v>129</v>
      </c>
      <c r="I982" s="71">
        <v>2800</v>
      </c>
      <c r="J982" s="71">
        <v>170</v>
      </c>
      <c r="K982" s="190">
        <f t="shared" si="80"/>
        <v>6.071428571428571</v>
      </c>
      <c r="L982" s="178"/>
      <c r="M982" s="71"/>
      <c r="N982" s="71"/>
      <c r="O982" s="189"/>
      <c r="P982" s="178"/>
      <c r="Q982" s="71">
        <f t="shared" si="81"/>
        <v>2800</v>
      </c>
      <c r="R982" s="71">
        <f t="shared" si="82"/>
        <v>170</v>
      </c>
      <c r="S982" s="188">
        <f t="shared" si="83"/>
        <v>6.071428571428571</v>
      </c>
    </row>
    <row r="983" spans="2:19" ht="12.75">
      <c r="B983" s="94">
        <f t="shared" si="84"/>
        <v>437</v>
      </c>
      <c r="C983" s="4"/>
      <c r="D983" s="4"/>
      <c r="E983" s="4"/>
      <c r="F983" s="32" t="s">
        <v>162</v>
      </c>
      <c r="G983" s="41">
        <v>635</v>
      </c>
      <c r="H983" s="4" t="s">
        <v>136</v>
      </c>
      <c r="I983" s="71">
        <v>12000</v>
      </c>
      <c r="J983" s="71">
        <v>1837</v>
      </c>
      <c r="K983" s="190">
        <f t="shared" si="80"/>
        <v>15.308333333333332</v>
      </c>
      <c r="L983" s="178"/>
      <c r="M983" s="71"/>
      <c r="N983" s="71"/>
      <c r="O983" s="189"/>
      <c r="P983" s="178"/>
      <c r="Q983" s="71">
        <f t="shared" si="81"/>
        <v>12000</v>
      </c>
      <c r="R983" s="71">
        <f t="shared" si="82"/>
        <v>1837</v>
      </c>
      <c r="S983" s="188">
        <f t="shared" si="83"/>
        <v>15.308333333333332</v>
      </c>
    </row>
    <row r="984" spans="2:19" ht="12.75">
      <c r="B984" s="94">
        <f t="shared" si="84"/>
        <v>438</v>
      </c>
      <c r="C984" s="4"/>
      <c r="D984" s="4"/>
      <c r="E984" s="4"/>
      <c r="F984" s="32" t="s">
        <v>162</v>
      </c>
      <c r="G984" s="41">
        <v>637</v>
      </c>
      <c r="H984" s="4" t="s">
        <v>126</v>
      </c>
      <c r="I984" s="71">
        <v>5280</v>
      </c>
      <c r="J984" s="71">
        <v>1492</v>
      </c>
      <c r="K984" s="190">
        <f t="shared" si="80"/>
        <v>28.257575757575758</v>
      </c>
      <c r="L984" s="178"/>
      <c r="M984" s="71"/>
      <c r="N984" s="71"/>
      <c r="O984" s="189"/>
      <c r="P984" s="178"/>
      <c r="Q984" s="71">
        <f t="shared" si="81"/>
        <v>5280</v>
      </c>
      <c r="R984" s="71">
        <f t="shared" si="82"/>
        <v>1492</v>
      </c>
      <c r="S984" s="188">
        <f t="shared" si="83"/>
        <v>28.257575757575758</v>
      </c>
    </row>
    <row r="985" spans="2:19" ht="12.75">
      <c r="B985" s="94">
        <f t="shared" si="84"/>
        <v>439</v>
      </c>
      <c r="C985" s="3"/>
      <c r="D985" s="3"/>
      <c r="E985" s="3"/>
      <c r="F985" s="92" t="s">
        <v>162</v>
      </c>
      <c r="G985" s="93">
        <v>640</v>
      </c>
      <c r="H985" s="3" t="s">
        <v>132</v>
      </c>
      <c r="I985" s="70">
        <v>1200</v>
      </c>
      <c r="J985" s="70">
        <v>351</v>
      </c>
      <c r="K985" s="190">
        <f t="shared" si="80"/>
        <v>29.25</v>
      </c>
      <c r="L985" s="177"/>
      <c r="M985" s="70"/>
      <c r="N985" s="70"/>
      <c r="O985" s="189"/>
      <c r="P985" s="177"/>
      <c r="Q985" s="70">
        <f t="shared" si="81"/>
        <v>1200</v>
      </c>
      <c r="R985" s="70">
        <f t="shared" si="82"/>
        <v>351</v>
      </c>
      <c r="S985" s="188">
        <f t="shared" si="83"/>
        <v>29.25</v>
      </c>
    </row>
    <row r="986" spans="2:19" ht="15">
      <c r="B986" s="94">
        <f t="shared" si="84"/>
        <v>440</v>
      </c>
      <c r="C986" s="12"/>
      <c r="D986" s="12"/>
      <c r="E986" s="12">
        <v>9</v>
      </c>
      <c r="F986" s="35"/>
      <c r="G986" s="43"/>
      <c r="H986" s="12" t="s">
        <v>6</v>
      </c>
      <c r="I986" s="82">
        <f>I987+I988+I989+I994</f>
        <v>144300</v>
      </c>
      <c r="J986" s="82">
        <f>J987+J988+J989+J994</f>
        <v>56519</v>
      </c>
      <c r="K986" s="190">
        <f t="shared" si="80"/>
        <v>39.167706167706164</v>
      </c>
      <c r="L986" s="182"/>
      <c r="M986" s="82"/>
      <c r="N986" s="82"/>
      <c r="O986" s="189"/>
      <c r="P986" s="182"/>
      <c r="Q986" s="82">
        <f t="shared" si="81"/>
        <v>144300</v>
      </c>
      <c r="R986" s="82">
        <f t="shared" si="82"/>
        <v>56519</v>
      </c>
      <c r="S986" s="188">
        <f t="shared" si="83"/>
        <v>39.167706167706164</v>
      </c>
    </row>
    <row r="987" spans="2:19" ht="12.75">
      <c r="B987" s="94">
        <f t="shared" si="84"/>
        <v>441</v>
      </c>
      <c r="C987" s="3"/>
      <c r="D987" s="3"/>
      <c r="E987" s="3"/>
      <c r="F987" s="92" t="s">
        <v>162</v>
      </c>
      <c r="G987" s="93">
        <v>610</v>
      </c>
      <c r="H987" s="3" t="s">
        <v>134</v>
      </c>
      <c r="I987" s="70">
        <v>93000</v>
      </c>
      <c r="J987" s="70">
        <v>32021</v>
      </c>
      <c r="K987" s="190">
        <f t="shared" si="80"/>
        <v>34.43118279569892</v>
      </c>
      <c r="L987" s="177"/>
      <c r="M987" s="70"/>
      <c r="N987" s="70"/>
      <c r="O987" s="189"/>
      <c r="P987" s="177"/>
      <c r="Q987" s="70">
        <f t="shared" si="81"/>
        <v>93000</v>
      </c>
      <c r="R987" s="70">
        <f t="shared" si="82"/>
        <v>32021</v>
      </c>
      <c r="S987" s="188">
        <f t="shared" si="83"/>
        <v>34.43118279569892</v>
      </c>
    </row>
    <row r="988" spans="2:19" ht="12.75">
      <c r="B988" s="94">
        <f t="shared" si="84"/>
        <v>442</v>
      </c>
      <c r="C988" s="3"/>
      <c r="D988" s="3"/>
      <c r="E988" s="3"/>
      <c r="F988" s="92" t="s">
        <v>162</v>
      </c>
      <c r="G988" s="93">
        <v>620</v>
      </c>
      <c r="H988" s="3" t="s">
        <v>128</v>
      </c>
      <c r="I988" s="70">
        <v>33300</v>
      </c>
      <c r="J988" s="70">
        <v>11648</v>
      </c>
      <c r="K988" s="190">
        <f t="shared" si="80"/>
        <v>34.97897897897898</v>
      </c>
      <c r="L988" s="177"/>
      <c r="M988" s="70"/>
      <c r="N988" s="70"/>
      <c r="O988" s="189"/>
      <c r="P988" s="177"/>
      <c r="Q988" s="70">
        <f t="shared" si="81"/>
        <v>33300</v>
      </c>
      <c r="R988" s="70">
        <f t="shared" si="82"/>
        <v>11648</v>
      </c>
      <c r="S988" s="188">
        <f t="shared" si="83"/>
        <v>34.97897897897898</v>
      </c>
    </row>
    <row r="989" spans="2:19" ht="12.75">
      <c r="B989" s="94">
        <f t="shared" si="84"/>
        <v>443</v>
      </c>
      <c r="C989" s="3"/>
      <c r="D989" s="3"/>
      <c r="E989" s="3"/>
      <c r="F989" s="92" t="s">
        <v>162</v>
      </c>
      <c r="G989" s="93">
        <v>630</v>
      </c>
      <c r="H989" s="3" t="s">
        <v>125</v>
      </c>
      <c r="I989" s="70">
        <f>SUM(I990:I993)</f>
        <v>17750</v>
      </c>
      <c r="J989" s="70">
        <f>SUM(J990:J993)</f>
        <v>12850</v>
      </c>
      <c r="K989" s="190">
        <f t="shared" si="80"/>
        <v>72.3943661971831</v>
      </c>
      <c r="L989" s="177"/>
      <c r="M989" s="70"/>
      <c r="N989" s="70"/>
      <c r="O989" s="189"/>
      <c r="P989" s="177"/>
      <c r="Q989" s="70">
        <f t="shared" si="81"/>
        <v>17750</v>
      </c>
      <c r="R989" s="70">
        <f t="shared" si="82"/>
        <v>12850</v>
      </c>
      <c r="S989" s="188">
        <f t="shared" si="83"/>
        <v>72.3943661971831</v>
      </c>
    </row>
    <row r="990" spans="2:19" ht="12.75">
      <c r="B990" s="94">
        <f t="shared" si="84"/>
        <v>444</v>
      </c>
      <c r="C990" s="4"/>
      <c r="D990" s="4"/>
      <c r="E990" s="4"/>
      <c r="F990" s="32" t="s">
        <v>162</v>
      </c>
      <c r="G990" s="41">
        <v>632</v>
      </c>
      <c r="H990" s="4" t="s">
        <v>138</v>
      </c>
      <c r="I990" s="71">
        <v>2220</v>
      </c>
      <c r="J990" s="71">
        <v>969</v>
      </c>
      <c r="K990" s="190">
        <f t="shared" si="80"/>
        <v>43.648648648648646</v>
      </c>
      <c r="L990" s="178"/>
      <c r="M990" s="71"/>
      <c r="N990" s="71"/>
      <c r="O990" s="189"/>
      <c r="P990" s="178"/>
      <c r="Q990" s="71">
        <f t="shared" si="81"/>
        <v>2220</v>
      </c>
      <c r="R990" s="71">
        <f t="shared" si="82"/>
        <v>969</v>
      </c>
      <c r="S990" s="188">
        <f t="shared" si="83"/>
        <v>43.648648648648646</v>
      </c>
    </row>
    <row r="991" spans="2:19" ht="12.75">
      <c r="B991" s="94">
        <f t="shared" si="84"/>
        <v>445</v>
      </c>
      <c r="C991" s="4"/>
      <c r="D991" s="4"/>
      <c r="E991" s="4"/>
      <c r="F991" s="32" t="s">
        <v>162</v>
      </c>
      <c r="G991" s="41">
        <v>633</v>
      </c>
      <c r="H991" s="4" t="s">
        <v>129</v>
      </c>
      <c r="I991" s="71">
        <v>2430</v>
      </c>
      <c r="J991" s="71">
        <v>455</v>
      </c>
      <c r="K991" s="190">
        <f t="shared" si="80"/>
        <v>18.72427983539095</v>
      </c>
      <c r="L991" s="178"/>
      <c r="M991" s="71"/>
      <c r="N991" s="71"/>
      <c r="O991" s="189"/>
      <c r="P991" s="178"/>
      <c r="Q991" s="71">
        <f t="shared" si="81"/>
        <v>2430</v>
      </c>
      <c r="R991" s="71">
        <f t="shared" si="82"/>
        <v>455</v>
      </c>
      <c r="S991" s="188">
        <f t="shared" si="83"/>
        <v>18.72427983539095</v>
      </c>
    </row>
    <row r="992" spans="2:19" ht="12.75">
      <c r="B992" s="94">
        <f t="shared" si="84"/>
        <v>446</v>
      </c>
      <c r="C992" s="4"/>
      <c r="D992" s="4"/>
      <c r="E992" s="4"/>
      <c r="F992" s="32" t="s">
        <v>162</v>
      </c>
      <c r="G992" s="41">
        <v>635</v>
      </c>
      <c r="H992" s="4" t="s">
        <v>136</v>
      </c>
      <c r="I992" s="71">
        <v>10000</v>
      </c>
      <c r="J992" s="164">
        <v>10508</v>
      </c>
      <c r="K992" s="190">
        <f t="shared" si="80"/>
        <v>105.08</v>
      </c>
      <c r="L992" s="178"/>
      <c r="M992" s="71"/>
      <c r="N992" s="71"/>
      <c r="O992" s="189"/>
      <c r="P992" s="178"/>
      <c r="Q992" s="71">
        <f t="shared" si="81"/>
        <v>10000</v>
      </c>
      <c r="R992" s="71">
        <f t="shared" si="82"/>
        <v>10508</v>
      </c>
      <c r="S992" s="188">
        <f t="shared" si="83"/>
        <v>105.08</v>
      </c>
    </row>
    <row r="993" spans="2:19" ht="12.75">
      <c r="B993" s="94">
        <f t="shared" si="84"/>
        <v>447</v>
      </c>
      <c r="C993" s="4"/>
      <c r="D993" s="4"/>
      <c r="E993" s="4"/>
      <c r="F993" s="32" t="s">
        <v>162</v>
      </c>
      <c r="G993" s="41">
        <v>637</v>
      </c>
      <c r="H993" s="4" t="s">
        <v>126</v>
      </c>
      <c r="I993" s="71">
        <v>3100</v>
      </c>
      <c r="J993" s="71">
        <v>918</v>
      </c>
      <c r="K993" s="190">
        <f t="shared" si="80"/>
        <v>29.612903225806452</v>
      </c>
      <c r="L993" s="178"/>
      <c r="M993" s="71"/>
      <c r="N993" s="71"/>
      <c r="O993" s="189"/>
      <c r="P993" s="178"/>
      <c r="Q993" s="71">
        <f t="shared" si="81"/>
        <v>3100</v>
      </c>
      <c r="R993" s="71">
        <f t="shared" si="82"/>
        <v>918</v>
      </c>
      <c r="S993" s="188">
        <f t="shared" si="83"/>
        <v>29.612903225806452</v>
      </c>
    </row>
    <row r="994" spans="2:19" ht="12.75">
      <c r="B994" s="94">
        <f t="shared" si="84"/>
        <v>448</v>
      </c>
      <c r="C994" s="3"/>
      <c r="D994" s="3"/>
      <c r="E994" s="3"/>
      <c r="F994" s="92" t="s">
        <v>162</v>
      </c>
      <c r="G994" s="93">
        <v>640</v>
      </c>
      <c r="H994" s="3" t="s">
        <v>132</v>
      </c>
      <c r="I994" s="70">
        <v>250</v>
      </c>
      <c r="J994" s="70">
        <v>0</v>
      </c>
      <c r="K994" s="190">
        <f t="shared" si="80"/>
        <v>0</v>
      </c>
      <c r="L994" s="177"/>
      <c r="M994" s="70"/>
      <c r="N994" s="70"/>
      <c r="O994" s="189"/>
      <c r="P994" s="177"/>
      <c r="Q994" s="70">
        <f t="shared" si="81"/>
        <v>250</v>
      </c>
      <c r="R994" s="70">
        <f t="shared" si="82"/>
        <v>0</v>
      </c>
      <c r="S994" s="188">
        <f t="shared" si="83"/>
        <v>0</v>
      </c>
    </row>
    <row r="995" spans="2:19" ht="15">
      <c r="B995" s="94">
        <f t="shared" si="84"/>
        <v>449</v>
      </c>
      <c r="C995" s="12"/>
      <c r="D995" s="12"/>
      <c r="E995" s="12">
        <v>10</v>
      </c>
      <c r="F995" s="35"/>
      <c r="G995" s="43"/>
      <c r="H995" s="12" t="s">
        <v>1</v>
      </c>
      <c r="I995" s="82">
        <f>I996+I997+I998+I1002</f>
        <v>110075</v>
      </c>
      <c r="J995" s="82">
        <f>J996+J997+J998+J1002</f>
        <v>43083</v>
      </c>
      <c r="K995" s="190">
        <f t="shared" si="80"/>
        <v>39.13967749261867</v>
      </c>
      <c r="L995" s="182"/>
      <c r="M995" s="82"/>
      <c r="N995" s="82"/>
      <c r="O995" s="189"/>
      <c r="P995" s="182"/>
      <c r="Q995" s="82">
        <f t="shared" si="81"/>
        <v>110075</v>
      </c>
      <c r="R995" s="82">
        <f t="shared" si="82"/>
        <v>43083</v>
      </c>
      <c r="S995" s="188">
        <f t="shared" si="83"/>
        <v>39.13967749261867</v>
      </c>
    </row>
    <row r="996" spans="2:19" ht="12.75">
      <c r="B996" s="94">
        <f t="shared" si="84"/>
        <v>450</v>
      </c>
      <c r="C996" s="3"/>
      <c r="D996" s="3"/>
      <c r="E996" s="3"/>
      <c r="F996" s="92" t="s">
        <v>162</v>
      </c>
      <c r="G996" s="93">
        <v>610</v>
      </c>
      <c r="H996" s="3" t="s">
        <v>134</v>
      </c>
      <c r="I996" s="70">
        <v>71000</v>
      </c>
      <c r="J996" s="70">
        <v>28071</v>
      </c>
      <c r="K996" s="190">
        <f t="shared" si="80"/>
        <v>39.53661971830986</v>
      </c>
      <c r="L996" s="177"/>
      <c r="M996" s="70"/>
      <c r="N996" s="70"/>
      <c r="O996" s="189"/>
      <c r="P996" s="177"/>
      <c r="Q996" s="70">
        <f t="shared" si="81"/>
        <v>71000</v>
      </c>
      <c r="R996" s="70">
        <f t="shared" si="82"/>
        <v>28071</v>
      </c>
      <c r="S996" s="188">
        <f t="shared" si="83"/>
        <v>39.53661971830986</v>
      </c>
    </row>
    <row r="997" spans="2:19" ht="12.75">
      <c r="B997" s="94">
        <f t="shared" si="84"/>
        <v>451</v>
      </c>
      <c r="C997" s="3"/>
      <c r="D997" s="3"/>
      <c r="E997" s="3"/>
      <c r="F997" s="92" t="s">
        <v>162</v>
      </c>
      <c r="G997" s="93">
        <v>620</v>
      </c>
      <c r="H997" s="3" t="s">
        <v>128</v>
      </c>
      <c r="I997" s="70">
        <v>24815</v>
      </c>
      <c r="J997" s="70">
        <v>10047</v>
      </c>
      <c r="K997" s="190">
        <f t="shared" si="80"/>
        <v>40.48760830143059</v>
      </c>
      <c r="L997" s="177"/>
      <c r="M997" s="70"/>
      <c r="N997" s="70"/>
      <c r="O997" s="189"/>
      <c r="P997" s="177"/>
      <c r="Q997" s="70">
        <f t="shared" si="81"/>
        <v>24815</v>
      </c>
      <c r="R997" s="70">
        <f t="shared" si="82"/>
        <v>10047</v>
      </c>
      <c r="S997" s="188">
        <f t="shared" si="83"/>
        <v>40.48760830143059</v>
      </c>
    </row>
    <row r="998" spans="2:19" ht="12.75">
      <c r="B998" s="94">
        <f t="shared" si="84"/>
        <v>452</v>
      </c>
      <c r="C998" s="3"/>
      <c r="D998" s="3"/>
      <c r="E998" s="3"/>
      <c r="F998" s="92" t="s">
        <v>162</v>
      </c>
      <c r="G998" s="93">
        <v>630</v>
      </c>
      <c r="H998" s="3" t="s">
        <v>125</v>
      </c>
      <c r="I998" s="70">
        <f>SUM(I999:I1001)</f>
        <v>13760</v>
      </c>
      <c r="J998" s="70">
        <f>SUM(J999:J1001)</f>
        <v>4832</v>
      </c>
      <c r="K998" s="190">
        <f t="shared" si="80"/>
        <v>35.116279069767444</v>
      </c>
      <c r="L998" s="177"/>
      <c r="M998" s="70"/>
      <c r="N998" s="70"/>
      <c r="O998" s="189"/>
      <c r="P998" s="177"/>
      <c r="Q998" s="70">
        <f t="shared" si="81"/>
        <v>13760</v>
      </c>
      <c r="R998" s="70">
        <f t="shared" si="82"/>
        <v>4832</v>
      </c>
      <c r="S998" s="188">
        <f t="shared" si="83"/>
        <v>35.116279069767444</v>
      </c>
    </row>
    <row r="999" spans="2:19" ht="12.75">
      <c r="B999" s="94">
        <f t="shared" si="84"/>
        <v>453</v>
      </c>
      <c r="C999" s="4"/>
      <c r="D999" s="4"/>
      <c r="E999" s="4"/>
      <c r="F999" s="32" t="s">
        <v>162</v>
      </c>
      <c r="G999" s="41">
        <v>632</v>
      </c>
      <c r="H999" s="4" t="s">
        <v>138</v>
      </c>
      <c r="I999" s="71">
        <v>3000</v>
      </c>
      <c r="J999" s="71">
        <v>1765</v>
      </c>
      <c r="K999" s="190">
        <f aca="true" t="shared" si="85" ref="K999:K1062">J999/I999*100</f>
        <v>58.833333333333336</v>
      </c>
      <c r="L999" s="178"/>
      <c r="M999" s="71"/>
      <c r="N999" s="71"/>
      <c r="O999" s="189"/>
      <c r="P999" s="178"/>
      <c r="Q999" s="71">
        <f aca="true" t="shared" si="86" ref="Q999:Q1062">M999+I999</f>
        <v>3000</v>
      </c>
      <c r="R999" s="71">
        <f aca="true" t="shared" si="87" ref="R999:R1062">N999+J999</f>
        <v>1765</v>
      </c>
      <c r="S999" s="188">
        <f aca="true" t="shared" si="88" ref="S999:S1062">R999/Q999*100</f>
        <v>58.833333333333336</v>
      </c>
    </row>
    <row r="1000" spans="2:19" ht="12.75">
      <c r="B1000" s="94">
        <f t="shared" si="84"/>
        <v>454</v>
      </c>
      <c r="C1000" s="4"/>
      <c r="D1000" s="4"/>
      <c r="E1000" s="4"/>
      <c r="F1000" s="32" t="s">
        <v>162</v>
      </c>
      <c r="G1000" s="41">
        <v>633</v>
      </c>
      <c r="H1000" s="4" t="s">
        <v>129</v>
      </c>
      <c r="I1000" s="71">
        <v>7060</v>
      </c>
      <c r="J1000" s="71">
        <v>714</v>
      </c>
      <c r="K1000" s="190">
        <f t="shared" si="85"/>
        <v>10.113314447592069</v>
      </c>
      <c r="L1000" s="178"/>
      <c r="M1000" s="71"/>
      <c r="N1000" s="71"/>
      <c r="O1000" s="189"/>
      <c r="P1000" s="178"/>
      <c r="Q1000" s="71">
        <f t="shared" si="86"/>
        <v>7060</v>
      </c>
      <c r="R1000" s="71">
        <f t="shared" si="87"/>
        <v>714</v>
      </c>
      <c r="S1000" s="188">
        <f t="shared" si="88"/>
        <v>10.113314447592069</v>
      </c>
    </row>
    <row r="1001" spans="2:19" ht="12.75">
      <c r="B1001" s="94">
        <f aca="true" t="shared" si="89" ref="B1001:B1064">B1000+1</f>
        <v>455</v>
      </c>
      <c r="C1001" s="4"/>
      <c r="D1001" s="4"/>
      <c r="E1001" s="4"/>
      <c r="F1001" s="32" t="s">
        <v>162</v>
      </c>
      <c r="G1001" s="41">
        <v>637</v>
      </c>
      <c r="H1001" s="4" t="s">
        <v>126</v>
      </c>
      <c r="I1001" s="71">
        <v>3700</v>
      </c>
      <c r="J1001" s="71">
        <v>2353</v>
      </c>
      <c r="K1001" s="190">
        <f t="shared" si="85"/>
        <v>63.5945945945946</v>
      </c>
      <c r="L1001" s="178"/>
      <c r="M1001" s="71"/>
      <c r="N1001" s="71"/>
      <c r="O1001" s="189"/>
      <c r="P1001" s="178"/>
      <c r="Q1001" s="71">
        <f t="shared" si="86"/>
        <v>3700</v>
      </c>
      <c r="R1001" s="71">
        <f t="shared" si="87"/>
        <v>2353</v>
      </c>
      <c r="S1001" s="188">
        <f t="shared" si="88"/>
        <v>63.5945945945946</v>
      </c>
    </row>
    <row r="1002" spans="2:19" ht="12.75">
      <c r="B1002" s="94">
        <f t="shared" si="89"/>
        <v>456</v>
      </c>
      <c r="C1002" s="3"/>
      <c r="D1002" s="3"/>
      <c r="E1002" s="3"/>
      <c r="F1002" s="92" t="s">
        <v>162</v>
      </c>
      <c r="G1002" s="93">
        <v>640</v>
      </c>
      <c r="H1002" s="3" t="s">
        <v>132</v>
      </c>
      <c r="I1002" s="70">
        <v>500</v>
      </c>
      <c r="J1002" s="70">
        <v>133</v>
      </c>
      <c r="K1002" s="190">
        <f t="shared" si="85"/>
        <v>26.6</v>
      </c>
      <c r="L1002" s="177"/>
      <c r="M1002" s="70"/>
      <c r="N1002" s="70"/>
      <c r="O1002" s="189"/>
      <c r="P1002" s="177"/>
      <c r="Q1002" s="70">
        <f t="shared" si="86"/>
        <v>500</v>
      </c>
      <c r="R1002" s="70">
        <f t="shared" si="87"/>
        <v>133</v>
      </c>
      <c r="S1002" s="188">
        <f t="shared" si="88"/>
        <v>26.6</v>
      </c>
    </row>
    <row r="1003" spans="2:19" ht="15">
      <c r="B1003" s="94">
        <f t="shared" si="89"/>
        <v>457</v>
      </c>
      <c r="C1003" s="12"/>
      <c r="D1003" s="12"/>
      <c r="E1003" s="12">
        <v>11</v>
      </c>
      <c r="F1003" s="35"/>
      <c r="G1003" s="43"/>
      <c r="H1003" s="12" t="s">
        <v>9</v>
      </c>
      <c r="I1003" s="82">
        <f>I1004+I1005+I1006+I1010</f>
        <v>207440</v>
      </c>
      <c r="J1003" s="82">
        <f>J1004+J1005+J1006+J1010</f>
        <v>82661</v>
      </c>
      <c r="K1003" s="190">
        <f t="shared" si="85"/>
        <v>39.848148862321636</v>
      </c>
      <c r="L1003" s="182"/>
      <c r="M1003" s="82"/>
      <c r="N1003" s="82"/>
      <c r="O1003" s="189"/>
      <c r="P1003" s="182"/>
      <c r="Q1003" s="82">
        <f t="shared" si="86"/>
        <v>207440</v>
      </c>
      <c r="R1003" s="82">
        <f t="shared" si="87"/>
        <v>82661</v>
      </c>
      <c r="S1003" s="188">
        <f t="shared" si="88"/>
        <v>39.848148862321636</v>
      </c>
    </row>
    <row r="1004" spans="2:19" ht="12.75">
      <c r="B1004" s="94">
        <f t="shared" si="89"/>
        <v>458</v>
      </c>
      <c r="C1004" s="3"/>
      <c r="D1004" s="3"/>
      <c r="E1004" s="3"/>
      <c r="F1004" s="92" t="s">
        <v>162</v>
      </c>
      <c r="G1004" s="93">
        <v>610</v>
      </c>
      <c r="H1004" s="3" t="s">
        <v>134</v>
      </c>
      <c r="I1004" s="70">
        <v>142150</v>
      </c>
      <c r="J1004" s="70">
        <v>60515</v>
      </c>
      <c r="K1004" s="190">
        <f t="shared" si="85"/>
        <v>42.571227576503695</v>
      </c>
      <c r="L1004" s="177"/>
      <c r="M1004" s="70"/>
      <c r="N1004" s="70"/>
      <c r="O1004" s="189"/>
      <c r="P1004" s="177"/>
      <c r="Q1004" s="70">
        <f t="shared" si="86"/>
        <v>142150</v>
      </c>
      <c r="R1004" s="70">
        <f t="shared" si="87"/>
        <v>60515</v>
      </c>
      <c r="S1004" s="188">
        <f t="shared" si="88"/>
        <v>42.571227576503695</v>
      </c>
    </row>
    <row r="1005" spans="2:19" ht="12.75">
      <c r="B1005" s="94">
        <f t="shared" si="89"/>
        <v>459</v>
      </c>
      <c r="C1005" s="3"/>
      <c r="D1005" s="3"/>
      <c r="E1005" s="3"/>
      <c r="F1005" s="92" t="s">
        <v>162</v>
      </c>
      <c r="G1005" s="93">
        <v>620</v>
      </c>
      <c r="H1005" s="3" t="s">
        <v>128</v>
      </c>
      <c r="I1005" s="70">
        <v>49690</v>
      </c>
      <c r="J1005" s="70">
        <v>19544</v>
      </c>
      <c r="K1005" s="190">
        <f t="shared" si="85"/>
        <v>39.33185751660294</v>
      </c>
      <c r="L1005" s="177"/>
      <c r="M1005" s="70"/>
      <c r="N1005" s="70"/>
      <c r="O1005" s="189"/>
      <c r="P1005" s="177"/>
      <c r="Q1005" s="70">
        <f t="shared" si="86"/>
        <v>49690</v>
      </c>
      <c r="R1005" s="70">
        <f t="shared" si="87"/>
        <v>19544</v>
      </c>
      <c r="S1005" s="188">
        <f t="shared" si="88"/>
        <v>39.33185751660294</v>
      </c>
    </row>
    <row r="1006" spans="2:19" ht="12.75">
      <c r="B1006" s="94">
        <f t="shared" si="89"/>
        <v>460</v>
      </c>
      <c r="C1006" s="3"/>
      <c r="D1006" s="3"/>
      <c r="E1006" s="3"/>
      <c r="F1006" s="92" t="s">
        <v>162</v>
      </c>
      <c r="G1006" s="93">
        <v>630</v>
      </c>
      <c r="H1006" s="3" t="s">
        <v>125</v>
      </c>
      <c r="I1006" s="70">
        <f>SUM(I1007:I1009)</f>
        <v>14800</v>
      </c>
      <c r="J1006" s="70">
        <f>SUM(J1007:J1009)</f>
        <v>2522</v>
      </c>
      <c r="K1006" s="190">
        <f t="shared" si="85"/>
        <v>17.04054054054054</v>
      </c>
      <c r="L1006" s="177"/>
      <c r="M1006" s="70"/>
      <c r="N1006" s="70"/>
      <c r="O1006" s="189"/>
      <c r="P1006" s="177"/>
      <c r="Q1006" s="70">
        <f t="shared" si="86"/>
        <v>14800</v>
      </c>
      <c r="R1006" s="70">
        <f t="shared" si="87"/>
        <v>2522</v>
      </c>
      <c r="S1006" s="188">
        <f t="shared" si="88"/>
        <v>17.04054054054054</v>
      </c>
    </row>
    <row r="1007" spans="2:19" ht="12.75">
      <c r="B1007" s="94">
        <f t="shared" si="89"/>
        <v>461</v>
      </c>
      <c r="C1007" s="4"/>
      <c r="D1007" s="4"/>
      <c r="E1007" s="4"/>
      <c r="F1007" s="32" t="s">
        <v>162</v>
      </c>
      <c r="G1007" s="41">
        <v>632</v>
      </c>
      <c r="H1007" s="4" t="s">
        <v>138</v>
      </c>
      <c r="I1007" s="71">
        <v>4820</v>
      </c>
      <c r="J1007" s="71">
        <v>1202</v>
      </c>
      <c r="K1007" s="190">
        <f t="shared" si="85"/>
        <v>24.937759336099585</v>
      </c>
      <c r="L1007" s="178"/>
      <c r="M1007" s="71"/>
      <c r="N1007" s="71"/>
      <c r="O1007" s="189"/>
      <c r="P1007" s="178"/>
      <c r="Q1007" s="71">
        <f t="shared" si="86"/>
        <v>4820</v>
      </c>
      <c r="R1007" s="71">
        <f t="shared" si="87"/>
        <v>1202</v>
      </c>
      <c r="S1007" s="188">
        <f t="shared" si="88"/>
        <v>24.937759336099585</v>
      </c>
    </row>
    <row r="1008" spans="2:19" ht="12.75">
      <c r="B1008" s="94">
        <f t="shared" si="89"/>
        <v>462</v>
      </c>
      <c r="C1008" s="4"/>
      <c r="D1008" s="4"/>
      <c r="E1008" s="4"/>
      <c r="F1008" s="32" t="s">
        <v>162</v>
      </c>
      <c r="G1008" s="41">
        <v>633</v>
      </c>
      <c r="H1008" s="4" t="s">
        <v>129</v>
      </c>
      <c r="I1008" s="71">
        <v>6200</v>
      </c>
      <c r="J1008" s="71">
        <v>231</v>
      </c>
      <c r="K1008" s="190">
        <f t="shared" si="85"/>
        <v>3.725806451612903</v>
      </c>
      <c r="L1008" s="178"/>
      <c r="M1008" s="71"/>
      <c r="N1008" s="71"/>
      <c r="O1008" s="189"/>
      <c r="P1008" s="178"/>
      <c r="Q1008" s="71">
        <f t="shared" si="86"/>
        <v>6200</v>
      </c>
      <c r="R1008" s="71">
        <f t="shared" si="87"/>
        <v>231</v>
      </c>
      <c r="S1008" s="188">
        <f t="shared" si="88"/>
        <v>3.725806451612903</v>
      </c>
    </row>
    <row r="1009" spans="2:19" ht="12.75">
      <c r="B1009" s="94">
        <f t="shared" si="89"/>
        <v>463</v>
      </c>
      <c r="C1009" s="4"/>
      <c r="D1009" s="4"/>
      <c r="E1009" s="4"/>
      <c r="F1009" s="32" t="s">
        <v>162</v>
      </c>
      <c r="G1009" s="41">
        <v>637</v>
      </c>
      <c r="H1009" s="4" t="s">
        <v>126</v>
      </c>
      <c r="I1009" s="71">
        <v>3780</v>
      </c>
      <c r="J1009" s="71">
        <v>1089</v>
      </c>
      <c r="K1009" s="190">
        <f t="shared" si="85"/>
        <v>28.809523809523807</v>
      </c>
      <c r="L1009" s="178"/>
      <c r="M1009" s="71"/>
      <c r="N1009" s="71"/>
      <c r="O1009" s="189"/>
      <c r="P1009" s="178"/>
      <c r="Q1009" s="71">
        <f t="shared" si="86"/>
        <v>3780</v>
      </c>
      <c r="R1009" s="71">
        <f t="shared" si="87"/>
        <v>1089</v>
      </c>
      <c r="S1009" s="188">
        <f t="shared" si="88"/>
        <v>28.809523809523807</v>
      </c>
    </row>
    <row r="1010" spans="2:19" ht="12.75">
      <c r="B1010" s="94">
        <f t="shared" si="89"/>
        <v>464</v>
      </c>
      <c r="C1010" s="3"/>
      <c r="D1010" s="3"/>
      <c r="E1010" s="3"/>
      <c r="F1010" s="92" t="s">
        <v>162</v>
      </c>
      <c r="G1010" s="93">
        <v>640</v>
      </c>
      <c r="H1010" s="3" t="s">
        <v>132</v>
      </c>
      <c r="I1010" s="70">
        <v>800</v>
      </c>
      <c r="J1010" s="70">
        <v>80</v>
      </c>
      <c r="K1010" s="190">
        <f t="shared" si="85"/>
        <v>10</v>
      </c>
      <c r="L1010" s="177"/>
      <c r="M1010" s="70"/>
      <c r="N1010" s="70"/>
      <c r="O1010" s="189"/>
      <c r="P1010" s="177"/>
      <c r="Q1010" s="70">
        <f t="shared" si="86"/>
        <v>800</v>
      </c>
      <c r="R1010" s="70">
        <f t="shared" si="87"/>
        <v>80</v>
      </c>
      <c r="S1010" s="188">
        <f t="shared" si="88"/>
        <v>10</v>
      </c>
    </row>
    <row r="1011" spans="2:19" ht="15">
      <c r="B1011" s="94">
        <f t="shared" si="89"/>
        <v>465</v>
      </c>
      <c r="C1011" s="12"/>
      <c r="D1011" s="12"/>
      <c r="E1011" s="12">
        <v>12</v>
      </c>
      <c r="F1011" s="35"/>
      <c r="G1011" s="43"/>
      <c r="H1011" s="12" t="s">
        <v>7</v>
      </c>
      <c r="I1011" s="82">
        <f>I1012+I1013+I1014+I1019</f>
        <v>235620</v>
      </c>
      <c r="J1011" s="82">
        <f>J1012+J1013+J1014+J1019</f>
        <v>71666</v>
      </c>
      <c r="K1011" s="190">
        <f t="shared" si="85"/>
        <v>30.41592394533571</v>
      </c>
      <c r="L1011" s="182"/>
      <c r="M1011" s="82"/>
      <c r="N1011" s="82"/>
      <c r="O1011" s="189"/>
      <c r="P1011" s="182"/>
      <c r="Q1011" s="82">
        <f t="shared" si="86"/>
        <v>235620</v>
      </c>
      <c r="R1011" s="82">
        <f t="shared" si="87"/>
        <v>71666</v>
      </c>
      <c r="S1011" s="188">
        <f t="shared" si="88"/>
        <v>30.41592394533571</v>
      </c>
    </row>
    <row r="1012" spans="2:19" ht="12.75">
      <c r="B1012" s="94">
        <f t="shared" si="89"/>
        <v>466</v>
      </c>
      <c r="C1012" s="3"/>
      <c r="D1012" s="3"/>
      <c r="E1012" s="3"/>
      <c r="F1012" s="92" t="s">
        <v>162</v>
      </c>
      <c r="G1012" s="93">
        <v>610</v>
      </c>
      <c r="H1012" s="3" t="s">
        <v>134</v>
      </c>
      <c r="I1012" s="70">
        <v>156760</v>
      </c>
      <c r="J1012" s="70">
        <v>45554</v>
      </c>
      <c r="K1012" s="190">
        <f t="shared" si="85"/>
        <v>29.059709109466702</v>
      </c>
      <c r="L1012" s="177"/>
      <c r="M1012" s="70"/>
      <c r="N1012" s="70"/>
      <c r="O1012" s="189"/>
      <c r="P1012" s="177"/>
      <c r="Q1012" s="70">
        <f t="shared" si="86"/>
        <v>156760</v>
      </c>
      <c r="R1012" s="70">
        <f t="shared" si="87"/>
        <v>45554</v>
      </c>
      <c r="S1012" s="188">
        <f t="shared" si="88"/>
        <v>29.059709109466702</v>
      </c>
    </row>
    <row r="1013" spans="2:19" ht="12.75">
      <c r="B1013" s="94">
        <f t="shared" si="89"/>
        <v>467</v>
      </c>
      <c r="C1013" s="3"/>
      <c r="D1013" s="3"/>
      <c r="E1013" s="3"/>
      <c r="F1013" s="92" t="s">
        <v>162</v>
      </c>
      <c r="G1013" s="93">
        <v>620</v>
      </c>
      <c r="H1013" s="3" t="s">
        <v>128</v>
      </c>
      <c r="I1013" s="70">
        <v>56260</v>
      </c>
      <c r="J1013" s="70">
        <v>15859</v>
      </c>
      <c r="K1013" s="190">
        <f t="shared" si="85"/>
        <v>28.18876644152151</v>
      </c>
      <c r="L1013" s="177"/>
      <c r="M1013" s="70"/>
      <c r="N1013" s="70"/>
      <c r="O1013" s="189"/>
      <c r="P1013" s="177"/>
      <c r="Q1013" s="70">
        <f t="shared" si="86"/>
        <v>56260</v>
      </c>
      <c r="R1013" s="70">
        <f t="shared" si="87"/>
        <v>15859</v>
      </c>
      <c r="S1013" s="188">
        <f t="shared" si="88"/>
        <v>28.18876644152151</v>
      </c>
    </row>
    <row r="1014" spans="2:19" ht="12.75">
      <c r="B1014" s="94">
        <f t="shared" si="89"/>
        <v>468</v>
      </c>
      <c r="C1014" s="3"/>
      <c r="D1014" s="3"/>
      <c r="E1014" s="3"/>
      <c r="F1014" s="92" t="s">
        <v>162</v>
      </c>
      <c r="G1014" s="93">
        <v>630</v>
      </c>
      <c r="H1014" s="3" t="s">
        <v>125</v>
      </c>
      <c r="I1014" s="70">
        <f>SUM(I1015:I1018)</f>
        <v>19000</v>
      </c>
      <c r="J1014" s="70">
        <f>SUM(J1015:J1018)</f>
        <v>9513</v>
      </c>
      <c r="K1014" s="190">
        <f t="shared" si="85"/>
        <v>50.068421052631585</v>
      </c>
      <c r="L1014" s="177"/>
      <c r="M1014" s="70"/>
      <c r="N1014" s="70"/>
      <c r="O1014" s="189"/>
      <c r="P1014" s="177"/>
      <c r="Q1014" s="70">
        <f t="shared" si="86"/>
        <v>19000</v>
      </c>
      <c r="R1014" s="70">
        <f t="shared" si="87"/>
        <v>9513</v>
      </c>
      <c r="S1014" s="188">
        <f t="shared" si="88"/>
        <v>50.068421052631585</v>
      </c>
    </row>
    <row r="1015" spans="2:19" ht="12.75">
      <c r="B1015" s="94">
        <f t="shared" si="89"/>
        <v>469</v>
      </c>
      <c r="C1015" s="4"/>
      <c r="D1015" s="4"/>
      <c r="E1015" s="4"/>
      <c r="F1015" s="32" t="s">
        <v>162</v>
      </c>
      <c r="G1015" s="41">
        <v>631</v>
      </c>
      <c r="H1015" s="4" t="s">
        <v>131</v>
      </c>
      <c r="I1015" s="71">
        <v>50</v>
      </c>
      <c r="J1015" s="71">
        <v>0</v>
      </c>
      <c r="K1015" s="190">
        <f t="shared" si="85"/>
        <v>0</v>
      </c>
      <c r="L1015" s="178"/>
      <c r="M1015" s="71"/>
      <c r="N1015" s="71"/>
      <c r="O1015" s="189"/>
      <c r="P1015" s="178"/>
      <c r="Q1015" s="71">
        <f t="shared" si="86"/>
        <v>50</v>
      </c>
      <c r="R1015" s="71">
        <f t="shared" si="87"/>
        <v>0</v>
      </c>
      <c r="S1015" s="188">
        <f t="shared" si="88"/>
        <v>0</v>
      </c>
    </row>
    <row r="1016" spans="2:19" ht="12.75">
      <c r="B1016" s="94">
        <f t="shared" si="89"/>
        <v>470</v>
      </c>
      <c r="C1016" s="4"/>
      <c r="D1016" s="4"/>
      <c r="E1016" s="4"/>
      <c r="F1016" s="32" t="s">
        <v>162</v>
      </c>
      <c r="G1016" s="41">
        <v>632</v>
      </c>
      <c r="H1016" s="4" t="s">
        <v>138</v>
      </c>
      <c r="I1016" s="71">
        <v>7400</v>
      </c>
      <c r="J1016" s="71">
        <v>3620</v>
      </c>
      <c r="K1016" s="190">
        <f t="shared" si="85"/>
        <v>48.91891891891892</v>
      </c>
      <c r="L1016" s="178"/>
      <c r="M1016" s="71"/>
      <c r="N1016" s="71"/>
      <c r="O1016" s="189"/>
      <c r="P1016" s="178"/>
      <c r="Q1016" s="71">
        <f t="shared" si="86"/>
        <v>7400</v>
      </c>
      <c r="R1016" s="71">
        <f t="shared" si="87"/>
        <v>3620</v>
      </c>
      <c r="S1016" s="188">
        <f t="shared" si="88"/>
        <v>48.91891891891892</v>
      </c>
    </row>
    <row r="1017" spans="2:19" ht="12.75">
      <c r="B1017" s="94">
        <f t="shared" si="89"/>
        <v>471</v>
      </c>
      <c r="C1017" s="4"/>
      <c r="D1017" s="4"/>
      <c r="E1017" s="4"/>
      <c r="F1017" s="32" t="s">
        <v>162</v>
      </c>
      <c r="G1017" s="41">
        <v>633</v>
      </c>
      <c r="H1017" s="4" t="s">
        <v>129</v>
      </c>
      <c r="I1017" s="71">
        <v>10050</v>
      </c>
      <c r="J1017" s="71">
        <v>4492</v>
      </c>
      <c r="K1017" s="190">
        <f t="shared" si="85"/>
        <v>44.69651741293532</v>
      </c>
      <c r="L1017" s="178"/>
      <c r="M1017" s="71"/>
      <c r="N1017" s="71"/>
      <c r="O1017" s="189"/>
      <c r="P1017" s="178"/>
      <c r="Q1017" s="71">
        <f t="shared" si="86"/>
        <v>10050</v>
      </c>
      <c r="R1017" s="71">
        <f t="shared" si="87"/>
        <v>4492</v>
      </c>
      <c r="S1017" s="188">
        <f t="shared" si="88"/>
        <v>44.69651741293532</v>
      </c>
    </row>
    <row r="1018" spans="2:19" ht="12.75">
      <c r="B1018" s="94">
        <f t="shared" si="89"/>
        <v>472</v>
      </c>
      <c r="C1018" s="4"/>
      <c r="D1018" s="4"/>
      <c r="E1018" s="4"/>
      <c r="F1018" s="32" t="s">
        <v>162</v>
      </c>
      <c r="G1018" s="41">
        <v>637</v>
      </c>
      <c r="H1018" s="4" t="s">
        <v>126</v>
      </c>
      <c r="I1018" s="71">
        <v>1500</v>
      </c>
      <c r="J1018" s="71">
        <v>1401</v>
      </c>
      <c r="K1018" s="190">
        <f t="shared" si="85"/>
        <v>93.4</v>
      </c>
      <c r="L1018" s="178"/>
      <c r="M1018" s="71"/>
      <c r="N1018" s="71"/>
      <c r="O1018" s="189"/>
      <c r="P1018" s="178"/>
      <c r="Q1018" s="71">
        <f t="shared" si="86"/>
        <v>1500</v>
      </c>
      <c r="R1018" s="71">
        <f t="shared" si="87"/>
        <v>1401</v>
      </c>
      <c r="S1018" s="188">
        <f t="shared" si="88"/>
        <v>93.4</v>
      </c>
    </row>
    <row r="1019" spans="2:19" ht="12.75">
      <c r="B1019" s="94">
        <f t="shared" si="89"/>
        <v>473</v>
      </c>
      <c r="C1019" s="3"/>
      <c r="D1019" s="3"/>
      <c r="E1019" s="3"/>
      <c r="F1019" s="92" t="s">
        <v>162</v>
      </c>
      <c r="G1019" s="93">
        <v>640</v>
      </c>
      <c r="H1019" s="3" t="s">
        <v>132</v>
      </c>
      <c r="I1019" s="70">
        <v>3600</v>
      </c>
      <c r="J1019" s="70">
        <v>740</v>
      </c>
      <c r="K1019" s="190">
        <f t="shared" si="85"/>
        <v>20.555555555555554</v>
      </c>
      <c r="L1019" s="177"/>
      <c r="M1019" s="70"/>
      <c r="N1019" s="70"/>
      <c r="O1019" s="189"/>
      <c r="P1019" s="177"/>
      <c r="Q1019" s="70">
        <f t="shared" si="86"/>
        <v>3600</v>
      </c>
      <c r="R1019" s="70">
        <f t="shared" si="87"/>
        <v>740</v>
      </c>
      <c r="S1019" s="188">
        <f t="shared" si="88"/>
        <v>20.555555555555554</v>
      </c>
    </row>
    <row r="1020" spans="2:19" ht="15">
      <c r="B1020" s="94">
        <f t="shared" si="89"/>
        <v>474</v>
      </c>
      <c r="C1020" s="12"/>
      <c r="D1020" s="12"/>
      <c r="E1020" s="12">
        <v>13</v>
      </c>
      <c r="F1020" s="35"/>
      <c r="G1020" s="43"/>
      <c r="H1020" s="12" t="s">
        <v>16</v>
      </c>
      <c r="I1020" s="82">
        <f>I1021+I1022+I1023+I1028</f>
        <v>63700</v>
      </c>
      <c r="J1020" s="82">
        <f>J1021+J1022+J1023+J1028</f>
        <v>23779</v>
      </c>
      <c r="K1020" s="190">
        <f t="shared" si="85"/>
        <v>37.32967032967033</v>
      </c>
      <c r="L1020" s="182"/>
      <c r="M1020" s="82"/>
      <c r="N1020" s="82"/>
      <c r="O1020" s="189"/>
      <c r="P1020" s="182"/>
      <c r="Q1020" s="82">
        <f t="shared" si="86"/>
        <v>63700</v>
      </c>
      <c r="R1020" s="82">
        <f t="shared" si="87"/>
        <v>23779</v>
      </c>
      <c r="S1020" s="188">
        <f t="shared" si="88"/>
        <v>37.32967032967033</v>
      </c>
    </row>
    <row r="1021" spans="2:19" ht="12.75">
      <c r="B1021" s="94">
        <f t="shared" si="89"/>
        <v>475</v>
      </c>
      <c r="C1021" s="3"/>
      <c r="D1021" s="3"/>
      <c r="E1021" s="3"/>
      <c r="F1021" s="92" t="s">
        <v>162</v>
      </c>
      <c r="G1021" s="93">
        <v>610</v>
      </c>
      <c r="H1021" s="3" t="s">
        <v>134</v>
      </c>
      <c r="I1021" s="70">
        <v>39655</v>
      </c>
      <c r="J1021" s="70">
        <v>14957</v>
      </c>
      <c r="K1021" s="190">
        <f t="shared" si="85"/>
        <v>37.7178161644181</v>
      </c>
      <c r="L1021" s="177"/>
      <c r="M1021" s="70"/>
      <c r="N1021" s="70"/>
      <c r="O1021" s="189"/>
      <c r="P1021" s="177"/>
      <c r="Q1021" s="70">
        <f t="shared" si="86"/>
        <v>39655</v>
      </c>
      <c r="R1021" s="70">
        <f t="shared" si="87"/>
        <v>14957</v>
      </c>
      <c r="S1021" s="188">
        <f t="shared" si="88"/>
        <v>37.7178161644181</v>
      </c>
    </row>
    <row r="1022" spans="2:19" ht="12.75">
      <c r="B1022" s="94">
        <f t="shared" si="89"/>
        <v>476</v>
      </c>
      <c r="C1022" s="3"/>
      <c r="D1022" s="3"/>
      <c r="E1022" s="3"/>
      <c r="F1022" s="92" t="s">
        <v>162</v>
      </c>
      <c r="G1022" s="93">
        <v>620</v>
      </c>
      <c r="H1022" s="3" t="s">
        <v>128</v>
      </c>
      <c r="I1022" s="70">
        <v>13845</v>
      </c>
      <c r="J1022" s="70">
        <v>5081</v>
      </c>
      <c r="K1022" s="190">
        <f t="shared" si="85"/>
        <v>36.699169375225715</v>
      </c>
      <c r="L1022" s="177"/>
      <c r="M1022" s="70"/>
      <c r="N1022" s="70"/>
      <c r="O1022" s="189"/>
      <c r="P1022" s="177"/>
      <c r="Q1022" s="70">
        <f t="shared" si="86"/>
        <v>13845</v>
      </c>
      <c r="R1022" s="70">
        <f t="shared" si="87"/>
        <v>5081</v>
      </c>
      <c r="S1022" s="188">
        <f t="shared" si="88"/>
        <v>36.699169375225715</v>
      </c>
    </row>
    <row r="1023" spans="2:19" ht="12.75">
      <c r="B1023" s="94">
        <f t="shared" si="89"/>
        <v>477</v>
      </c>
      <c r="C1023" s="3"/>
      <c r="D1023" s="3"/>
      <c r="E1023" s="3"/>
      <c r="F1023" s="92" t="s">
        <v>162</v>
      </c>
      <c r="G1023" s="93">
        <v>630</v>
      </c>
      <c r="H1023" s="3" t="s">
        <v>125</v>
      </c>
      <c r="I1023" s="70">
        <f>SUM(I1024:I1027)</f>
        <v>10100</v>
      </c>
      <c r="J1023" s="70">
        <f>SUM(J1024:J1027)</f>
        <v>3632</v>
      </c>
      <c r="K1023" s="190">
        <f t="shared" si="85"/>
        <v>35.96039603960396</v>
      </c>
      <c r="L1023" s="177"/>
      <c r="M1023" s="70"/>
      <c r="N1023" s="70"/>
      <c r="O1023" s="189"/>
      <c r="P1023" s="177"/>
      <c r="Q1023" s="70">
        <f t="shared" si="86"/>
        <v>10100</v>
      </c>
      <c r="R1023" s="70">
        <f t="shared" si="87"/>
        <v>3632</v>
      </c>
      <c r="S1023" s="188">
        <f t="shared" si="88"/>
        <v>35.96039603960396</v>
      </c>
    </row>
    <row r="1024" spans="2:19" ht="12.75">
      <c r="B1024" s="94">
        <f t="shared" si="89"/>
        <v>478</v>
      </c>
      <c r="C1024" s="4"/>
      <c r="D1024" s="4"/>
      <c r="E1024" s="4"/>
      <c r="F1024" s="32" t="s">
        <v>162</v>
      </c>
      <c r="G1024" s="41">
        <v>632</v>
      </c>
      <c r="H1024" s="4" t="s">
        <v>138</v>
      </c>
      <c r="I1024" s="71">
        <v>4700</v>
      </c>
      <c r="J1024" s="71">
        <v>3300</v>
      </c>
      <c r="K1024" s="190">
        <f t="shared" si="85"/>
        <v>70.2127659574468</v>
      </c>
      <c r="L1024" s="178"/>
      <c r="M1024" s="71"/>
      <c r="N1024" s="71"/>
      <c r="O1024" s="189"/>
      <c r="P1024" s="178"/>
      <c r="Q1024" s="71">
        <f t="shared" si="86"/>
        <v>4700</v>
      </c>
      <c r="R1024" s="71">
        <f t="shared" si="87"/>
        <v>3300</v>
      </c>
      <c r="S1024" s="188">
        <f t="shared" si="88"/>
        <v>70.2127659574468</v>
      </c>
    </row>
    <row r="1025" spans="2:19" ht="12.75">
      <c r="B1025" s="94">
        <f t="shared" si="89"/>
        <v>479</v>
      </c>
      <c r="C1025" s="4"/>
      <c r="D1025" s="4"/>
      <c r="E1025" s="4"/>
      <c r="F1025" s="32" t="s">
        <v>162</v>
      </c>
      <c r="G1025" s="41">
        <v>633</v>
      </c>
      <c r="H1025" s="4" t="s">
        <v>129</v>
      </c>
      <c r="I1025" s="71">
        <v>400</v>
      </c>
      <c r="J1025" s="71">
        <v>140</v>
      </c>
      <c r="K1025" s="190">
        <f t="shared" si="85"/>
        <v>35</v>
      </c>
      <c r="L1025" s="178"/>
      <c r="M1025" s="71"/>
      <c r="N1025" s="71"/>
      <c r="O1025" s="189"/>
      <c r="P1025" s="178"/>
      <c r="Q1025" s="71">
        <f t="shared" si="86"/>
        <v>400</v>
      </c>
      <c r="R1025" s="71">
        <f t="shared" si="87"/>
        <v>140</v>
      </c>
      <c r="S1025" s="188">
        <f t="shared" si="88"/>
        <v>35</v>
      </c>
    </row>
    <row r="1026" spans="2:19" ht="12.75">
      <c r="B1026" s="94">
        <f t="shared" si="89"/>
        <v>480</v>
      </c>
      <c r="C1026" s="4"/>
      <c r="D1026" s="4"/>
      <c r="E1026" s="4"/>
      <c r="F1026" s="32" t="s">
        <v>162</v>
      </c>
      <c r="G1026" s="41">
        <v>635</v>
      </c>
      <c r="H1026" s="4" t="s">
        <v>136</v>
      </c>
      <c r="I1026" s="71">
        <v>4000</v>
      </c>
      <c r="J1026" s="71">
        <v>0</v>
      </c>
      <c r="K1026" s="190">
        <f t="shared" si="85"/>
        <v>0</v>
      </c>
      <c r="L1026" s="178"/>
      <c r="M1026" s="71"/>
      <c r="N1026" s="71"/>
      <c r="O1026" s="189"/>
      <c r="P1026" s="178"/>
      <c r="Q1026" s="71">
        <f t="shared" si="86"/>
        <v>4000</v>
      </c>
      <c r="R1026" s="71">
        <f t="shared" si="87"/>
        <v>0</v>
      </c>
      <c r="S1026" s="188">
        <f t="shared" si="88"/>
        <v>0</v>
      </c>
    </row>
    <row r="1027" spans="2:19" ht="12.75">
      <c r="B1027" s="94">
        <f t="shared" si="89"/>
        <v>481</v>
      </c>
      <c r="C1027" s="4"/>
      <c r="D1027" s="4"/>
      <c r="E1027" s="4"/>
      <c r="F1027" s="32" t="s">
        <v>162</v>
      </c>
      <c r="G1027" s="41">
        <v>637</v>
      </c>
      <c r="H1027" s="4" t="s">
        <v>126</v>
      </c>
      <c r="I1027" s="71">
        <v>1000</v>
      </c>
      <c r="J1027" s="71">
        <v>192</v>
      </c>
      <c r="K1027" s="190">
        <f t="shared" si="85"/>
        <v>19.2</v>
      </c>
      <c r="L1027" s="178"/>
      <c r="M1027" s="71"/>
      <c r="N1027" s="71"/>
      <c r="O1027" s="189"/>
      <c r="P1027" s="178"/>
      <c r="Q1027" s="71">
        <f t="shared" si="86"/>
        <v>1000</v>
      </c>
      <c r="R1027" s="71">
        <f t="shared" si="87"/>
        <v>192</v>
      </c>
      <c r="S1027" s="188">
        <f t="shared" si="88"/>
        <v>19.2</v>
      </c>
    </row>
    <row r="1028" spans="2:19" ht="12.75">
      <c r="B1028" s="94">
        <f t="shared" si="89"/>
        <v>482</v>
      </c>
      <c r="C1028" s="3"/>
      <c r="D1028" s="3"/>
      <c r="E1028" s="3"/>
      <c r="F1028" s="92" t="s">
        <v>162</v>
      </c>
      <c r="G1028" s="93">
        <v>640</v>
      </c>
      <c r="H1028" s="3" t="s">
        <v>132</v>
      </c>
      <c r="I1028" s="70">
        <v>100</v>
      </c>
      <c r="J1028" s="70">
        <v>109</v>
      </c>
      <c r="K1028" s="190">
        <f t="shared" si="85"/>
        <v>109.00000000000001</v>
      </c>
      <c r="L1028" s="177"/>
      <c r="M1028" s="70"/>
      <c r="N1028" s="70"/>
      <c r="O1028" s="189"/>
      <c r="P1028" s="177"/>
      <c r="Q1028" s="70">
        <f t="shared" si="86"/>
        <v>100</v>
      </c>
      <c r="R1028" s="70">
        <f t="shared" si="87"/>
        <v>109</v>
      </c>
      <c r="S1028" s="188">
        <f t="shared" si="88"/>
        <v>109.00000000000001</v>
      </c>
    </row>
    <row r="1029" spans="2:19" ht="15">
      <c r="B1029" s="94">
        <f t="shared" si="89"/>
        <v>483</v>
      </c>
      <c r="C1029" s="12"/>
      <c r="D1029" s="12"/>
      <c r="E1029" s="12">
        <v>14</v>
      </c>
      <c r="F1029" s="35"/>
      <c r="G1029" s="43"/>
      <c r="H1029" s="12" t="s">
        <v>2</v>
      </c>
      <c r="I1029" s="82">
        <f>I1030+I1031+I1032+I1040</f>
        <v>1191580</v>
      </c>
      <c r="J1029" s="82">
        <f>J1030+J1031+J1032+J1040</f>
        <v>528378</v>
      </c>
      <c r="K1029" s="190">
        <f t="shared" si="85"/>
        <v>44.34263750650397</v>
      </c>
      <c r="L1029" s="182"/>
      <c r="M1029" s="82"/>
      <c r="N1029" s="82"/>
      <c r="O1029" s="189"/>
      <c r="P1029" s="182"/>
      <c r="Q1029" s="82">
        <f t="shared" si="86"/>
        <v>1191580</v>
      </c>
      <c r="R1029" s="82">
        <f t="shared" si="87"/>
        <v>528378</v>
      </c>
      <c r="S1029" s="188">
        <f t="shared" si="88"/>
        <v>44.34263750650397</v>
      </c>
    </row>
    <row r="1030" spans="2:19" ht="12.75">
      <c r="B1030" s="94">
        <f t="shared" si="89"/>
        <v>484</v>
      </c>
      <c r="C1030" s="3"/>
      <c r="D1030" s="3"/>
      <c r="E1030" s="3"/>
      <c r="F1030" s="92" t="s">
        <v>162</v>
      </c>
      <c r="G1030" s="93">
        <v>610</v>
      </c>
      <c r="H1030" s="3" t="s">
        <v>134</v>
      </c>
      <c r="I1030" s="70">
        <f>799000+50</f>
        <v>799050</v>
      </c>
      <c r="J1030" s="70">
        <v>362607</v>
      </c>
      <c r="K1030" s="190">
        <f t="shared" si="85"/>
        <v>45.379763469119574</v>
      </c>
      <c r="L1030" s="177"/>
      <c r="M1030" s="70"/>
      <c r="N1030" s="70"/>
      <c r="O1030" s="189"/>
      <c r="P1030" s="177"/>
      <c r="Q1030" s="70">
        <f t="shared" si="86"/>
        <v>799050</v>
      </c>
      <c r="R1030" s="70">
        <f t="shared" si="87"/>
        <v>362607</v>
      </c>
      <c r="S1030" s="188">
        <f t="shared" si="88"/>
        <v>45.379763469119574</v>
      </c>
    </row>
    <row r="1031" spans="2:19" ht="12.75">
      <c r="B1031" s="94">
        <f t="shared" si="89"/>
        <v>485</v>
      </c>
      <c r="C1031" s="3"/>
      <c r="D1031" s="3"/>
      <c r="E1031" s="3"/>
      <c r="F1031" s="92" t="s">
        <v>162</v>
      </c>
      <c r="G1031" s="93">
        <v>620</v>
      </c>
      <c r="H1031" s="3" t="s">
        <v>128</v>
      </c>
      <c r="I1031" s="70">
        <f>272770+10</f>
        <v>272780</v>
      </c>
      <c r="J1031" s="70">
        <v>111111</v>
      </c>
      <c r="K1031" s="190">
        <f t="shared" si="85"/>
        <v>40.732824987169145</v>
      </c>
      <c r="L1031" s="177"/>
      <c r="M1031" s="70"/>
      <c r="N1031" s="70"/>
      <c r="O1031" s="189"/>
      <c r="P1031" s="177"/>
      <c r="Q1031" s="70">
        <f t="shared" si="86"/>
        <v>272780</v>
      </c>
      <c r="R1031" s="70">
        <f t="shared" si="87"/>
        <v>111111</v>
      </c>
      <c r="S1031" s="188">
        <f t="shared" si="88"/>
        <v>40.732824987169145</v>
      </c>
    </row>
    <row r="1032" spans="2:19" ht="12.75">
      <c r="B1032" s="94">
        <f t="shared" si="89"/>
        <v>486</v>
      </c>
      <c r="C1032" s="3"/>
      <c r="D1032" s="3"/>
      <c r="E1032" s="3"/>
      <c r="F1032" s="92" t="s">
        <v>162</v>
      </c>
      <c r="G1032" s="93">
        <v>630</v>
      </c>
      <c r="H1032" s="3" t="s">
        <v>125</v>
      </c>
      <c r="I1032" s="70">
        <f>SUM(I1033:I1039)</f>
        <v>114250</v>
      </c>
      <c r="J1032" s="70">
        <f>SUM(J1033:J1039)</f>
        <v>52242</v>
      </c>
      <c r="K1032" s="190">
        <f t="shared" si="85"/>
        <v>45.72603938730853</v>
      </c>
      <c r="L1032" s="177"/>
      <c r="M1032" s="70"/>
      <c r="N1032" s="70"/>
      <c r="O1032" s="189"/>
      <c r="P1032" s="177"/>
      <c r="Q1032" s="70">
        <f t="shared" si="86"/>
        <v>114250</v>
      </c>
      <c r="R1032" s="70">
        <f t="shared" si="87"/>
        <v>52242</v>
      </c>
      <c r="S1032" s="188">
        <f t="shared" si="88"/>
        <v>45.72603938730853</v>
      </c>
    </row>
    <row r="1033" spans="2:19" ht="12.75">
      <c r="B1033" s="94">
        <f t="shared" si="89"/>
        <v>487</v>
      </c>
      <c r="C1033" s="4"/>
      <c r="D1033" s="4"/>
      <c r="E1033" s="4"/>
      <c r="F1033" s="32" t="s">
        <v>162</v>
      </c>
      <c r="G1033" s="41">
        <v>631</v>
      </c>
      <c r="H1033" s="4" t="s">
        <v>131</v>
      </c>
      <c r="I1033" s="71">
        <v>500</v>
      </c>
      <c r="J1033" s="71">
        <v>0</v>
      </c>
      <c r="K1033" s="190">
        <f t="shared" si="85"/>
        <v>0</v>
      </c>
      <c r="L1033" s="178"/>
      <c r="M1033" s="71"/>
      <c r="N1033" s="71"/>
      <c r="O1033" s="189"/>
      <c r="P1033" s="178"/>
      <c r="Q1033" s="71">
        <f t="shared" si="86"/>
        <v>500</v>
      </c>
      <c r="R1033" s="71">
        <f t="shared" si="87"/>
        <v>0</v>
      </c>
      <c r="S1033" s="188">
        <f t="shared" si="88"/>
        <v>0</v>
      </c>
    </row>
    <row r="1034" spans="2:19" ht="12.75">
      <c r="B1034" s="94">
        <f t="shared" si="89"/>
        <v>488</v>
      </c>
      <c r="C1034" s="4"/>
      <c r="D1034" s="4"/>
      <c r="E1034" s="4"/>
      <c r="F1034" s="32" t="s">
        <v>162</v>
      </c>
      <c r="G1034" s="41">
        <v>632</v>
      </c>
      <c r="H1034" s="4" t="s">
        <v>138</v>
      </c>
      <c r="I1034" s="71">
        <v>27200</v>
      </c>
      <c r="J1034" s="71">
        <v>18371</v>
      </c>
      <c r="K1034" s="190">
        <f t="shared" si="85"/>
        <v>67.5404411764706</v>
      </c>
      <c r="L1034" s="178"/>
      <c r="M1034" s="71"/>
      <c r="N1034" s="71"/>
      <c r="O1034" s="189"/>
      <c r="P1034" s="178"/>
      <c r="Q1034" s="71">
        <f t="shared" si="86"/>
        <v>27200</v>
      </c>
      <c r="R1034" s="71">
        <f t="shared" si="87"/>
        <v>18371</v>
      </c>
      <c r="S1034" s="188">
        <f t="shared" si="88"/>
        <v>67.5404411764706</v>
      </c>
    </row>
    <row r="1035" spans="2:19" ht="12.75">
      <c r="B1035" s="94">
        <f t="shared" si="89"/>
        <v>489</v>
      </c>
      <c r="C1035" s="4"/>
      <c r="D1035" s="4"/>
      <c r="E1035" s="4"/>
      <c r="F1035" s="32" t="s">
        <v>162</v>
      </c>
      <c r="G1035" s="41">
        <v>633</v>
      </c>
      <c r="H1035" s="4" t="s">
        <v>129</v>
      </c>
      <c r="I1035" s="71">
        <f>16500-9200</f>
        <v>7300</v>
      </c>
      <c r="J1035" s="71">
        <v>4380</v>
      </c>
      <c r="K1035" s="190">
        <f t="shared" si="85"/>
        <v>60</v>
      </c>
      <c r="L1035" s="178"/>
      <c r="M1035" s="71"/>
      <c r="N1035" s="71"/>
      <c r="O1035" s="189"/>
      <c r="P1035" s="178"/>
      <c r="Q1035" s="71">
        <f t="shared" si="86"/>
        <v>7300</v>
      </c>
      <c r="R1035" s="71">
        <f t="shared" si="87"/>
        <v>4380</v>
      </c>
      <c r="S1035" s="188">
        <f t="shared" si="88"/>
        <v>60</v>
      </c>
    </row>
    <row r="1036" spans="2:19" ht="12.75">
      <c r="B1036" s="94">
        <f t="shared" si="89"/>
        <v>490</v>
      </c>
      <c r="C1036" s="4"/>
      <c r="D1036" s="4"/>
      <c r="E1036" s="4"/>
      <c r="F1036" s="32" t="s">
        <v>162</v>
      </c>
      <c r="G1036" s="41">
        <v>635</v>
      </c>
      <c r="H1036" s="4" t="s">
        <v>136</v>
      </c>
      <c r="I1036" s="71">
        <v>16300</v>
      </c>
      <c r="J1036" s="71">
        <v>462</v>
      </c>
      <c r="K1036" s="190">
        <f t="shared" si="85"/>
        <v>2.834355828220859</v>
      </c>
      <c r="L1036" s="178"/>
      <c r="M1036" s="71"/>
      <c r="N1036" s="71"/>
      <c r="O1036" s="189"/>
      <c r="P1036" s="178"/>
      <c r="Q1036" s="71">
        <f t="shared" si="86"/>
        <v>16300</v>
      </c>
      <c r="R1036" s="71">
        <f t="shared" si="87"/>
        <v>462</v>
      </c>
      <c r="S1036" s="188">
        <f t="shared" si="88"/>
        <v>2.834355828220859</v>
      </c>
    </row>
    <row r="1037" spans="2:19" ht="12.75">
      <c r="B1037" s="94">
        <f t="shared" si="89"/>
        <v>491</v>
      </c>
      <c r="C1037" s="4"/>
      <c r="D1037" s="4"/>
      <c r="E1037" s="4"/>
      <c r="F1037" s="32" t="s">
        <v>162</v>
      </c>
      <c r="G1037" s="41">
        <v>636</v>
      </c>
      <c r="H1037" s="4" t="s">
        <v>130</v>
      </c>
      <c r="I1037" s="71">
        <v>100</v>
      </c>
      <c r="J1037" s="71">
        <v>0</v>
      </c>
      <c r="K1037" s="190">
        <f t="shared" si="85"/>
        <v>0</v>
      </c>
      <c r="L1037" s="178"/>
      <c r="M1037" s="71"/>
      <c r="N1037" s="71"/>
      <c r="O1037" s="189"/>
      <c r="P1037" s="178"/>
      <c r="Q1037" s="71">
        <f t="shared" si="86"/>
        <v>100</v>
      </c>
      <c r="R1037" s="71">
        <f t="shared" si="87"/>
        <v>0</v>
      </c>
      <c r="S1037" s="188">
        <f t="shared" si="88"/>
        <v>0</v>
      </c>
    </row>
    <row r="1038" spans="2:19" ht="12.75">
      <c r="B1038" s="94">
        <f t="shared" si="89"/>
        <v>492</v>
      </c>
      <c r="C1038" s="4"/>
      <c r="D1038" s="4"/>
      <c r="E1038" s="4"/>
      <c r="F1038" s="32" t="s">
        <v>162</v>
      </c>
      <c r="G1038" s="41">
        <v>637</v>
      </c>
      <c r="H1038" s="4" t="s">
        <v>126</v>
      </c>
      <c r="I1038" s="71">
        <v>47850</v>
      </c>
      <c r="J1038" s="71">
        <v>28422</v>
      </c>
      <c r="K1038" s="190">
        <f t="shared" si="85"/>
        <v>59.39811912225706</v>
      </c>
      <c r="L1038" s="178"/>
      <c r="M1038" s="71"/>
      <c r="N1038" s="71"/>
      <c r="O1038" s="189"/>
      <c r="P1038" s="178"/>
      <c r="Q1038" s="71">
        <f t="shared" si="86"/>
        <v>47850</v>
      </c>
      <c r="R1038" s="71">
        <f t="shared" si="87"/>
        <v>28422</v>
      </c>
      <c r="S1038" s="188">
        <f t="shared" si="88"/>
        <v>59.39811912225706</v>
      </c>
    </row>
    <row r="1039" spans="2:19" ht="12.75">
      <c r="B1039" s="94">
        <f t="shared" si="89"/>
        <v>493</v>
      </c>
      <c r="C1039" s="4"/>
      <c r="D1039" s="4"/>
      <c r="E1039" s="4"/>
      <c r="F1039" s="32" t="s">
        <v>162</v>
      </c>
      <c r="G1039" s="41">
        <v>637</v>
      </c>
      <c r="H1039" s="4" t="s">
        <v>295</v>
      </c>
      <c r="I1039" s="71">
        <v>15000</v>
      </c>
      <c r="J1039" s="71">
        <v>607</v>
      </c>
      <c r="K1039" s="190">
        <f t="shared" si="85"/>
        <v>4.046666666666667</v>
      </c>
      <c r="L1039" s="178"/>
      <c r="M1039" s="71"/>
      <c r="N1039" s="71"/>
      <c r="O1039" s="189"/>
      <c r="P1039" s="178"/>
      <c r="Q1039" s="71">
        <f t="shared" si="86"/>
        <v>15000</v>
      </c>
      <c r="R1039" s="71">
        <f t="shared" si="87"/>
        <v>607</v>
      </c>
      <c r="S1039" s="188">
        <f t="shared" si="88"/>
        <v>4.046666666666667</v>
      </c>
    </row>
    <row r="1040" spans="2:19" ht="12.75">
      <c r="B1040" s="94">
        <f t="shared" si="89"/>
        <v>494</v>
      </c>
      <c r="C1040" s="3"/>
      <c r="D1040" s="3"/>
      <c r="E1040" s="3"/>
      <c r="F1040" s="92" t="s">
        <v>162</v>
      </c>
      <c r="G1040" s="93">
        <v>640</v>
      </c>
      <c r="H1040" s="3" t="s">
        <v>132</v>
      </c>
      <c r="I1040" s="70">
        <v>5500</v>
      </c>
      <c r="J1040" s="70">
        <v>2418</v>
      </c>
      <c r="K1040" s="190">
        <f t="shared" si="85"/>
        <v>43.96363636363637</v>
      </c>
      <c r="L1040" s="177"/>
      <c r="M1040" s="70"/>
      <c r="N1040" s="70"/>
      <c r="O1040" s="189"/>
      <c r="P1040" s="177"/>
      <c r="Q1040" s="70">
        <f t="shared" si="86"/>
        <v>5500</v>
      </c>
      <c r="R1040" s="70">
        <f t="shared" si="87"/>
        <v>2418</v>
      </c>
      <c r="S1040" s="188">
        <f t="shared" si="88"/>
        <v>43.96363636363637</v>
      </c>
    </row>
    <row r="1041" spans="2:19" ht="15">
      <c r="B1041" s="94">
        <f t="shared" si="89"/>
        <v>495</v>
      </c>
      <c r="C1041" s="96">
        <v>4</v>
      </c>
      <c r="D1041" s="296" t="s">
        <v>165</v>
      </c>
      <c r="E1041" s="297"/>
      <c r="F1041" s="297"/>
      <c r="G1041" s="297"/>
      <c r="H1041" s="298"/>
      <c r="I1041" s="97">
        <f>I1042+I1050+I1154+I1174+I1191+I1196+I1213+I1234+I1253+I1271+I1049</f>
        <v>3439362</v>
      </c>
      <c r="J1041" s="97">
        <f>J1042+J1050+J1154+J1174+J1191+J1196+J1213+J1234+J1253+J1271+J1049</f>
        <v>1174044</v>
      </c>
      <c r="K1041" s="190">
        <f t="shared" si="85"/>
        <v>34.13551699414019</v>
      </c>
      <c r="L1041" s="184"/>
      <c r="M1041" s="97">
        <f>M1050+M1154+M1174+M1191+M1196+M1213+M1234+M1253+M1271</f>
        <v>5500</v>
      </c>
      <c r="N1041" s="97">
        <f>N1050+N1154+N1174+N1191+N1196+N1213+N1234+N1253+N1271</f>
        <v>4552</v>
      </c>
      <c r="O1041" s="189">
        <f>N1041/M1041*100</f>
        <v>82.76363636363637</v>
      </c>
      <c r="P1041" s="184"/>
      <c r="Q1041" s="97">
        <f t="shared" si="86"/>
        <v>3444862</v>
      </c>
      <c r="R1041" s="97">
        <f t="shared" si="87"/>
        <v>1178596</v>
      </c>
      <c r="S1041" s="188">
        <f t="shared" si="88"/>
        <v>34.21315570841445</v>
      </c>
    </row>
    <row r="1042" spans="2:19" ht="12.75">
      <c r="B1042" s="94">
        <f t="shared" si="89"/>
        <v>496</v>
      </c>
      <c r="C1042" s="3"/>
      <c r="D1042" s="3"/>
      <c r="E1042" s="3"/>
      <c r="F1042" s="92" t="s">
        <v>164</v>
      </c>
      <c r="G1042" s="93">
        <v>640</v>
      </c>
      <c r="H1042" s="3" t="s">
        <v>132</v>
      </c>
      <c r="I1042" s="70">
        <f>I1043</f>
        <v>77727</v>
      </c>
      <c r="J1042" s="70">
        <f>J1043</f>
        <v>38013</v>
      </c>
      <c r="K1042" s="190">
        <f t="shared" si="85"/>
        <v>48.90578563433556</v>
      </c>
      <c r="L1042" s="177"/>
      <c r="M1042" s="70"/>
      <c r="N1042" s="70"/>
      <c r="O1042" s="189"/>
      <c r="P1042" s="177"/>
      <c r="Q1042" s="70">
        <f t="shared" si="86"/>
        <v>77727</v>
      </c>
      <c r="R1042" s="70">
        <f t="shared" si="87"/>
        <v>38013</v>
      </c>
      <c r="S1042" s="188">
        <f t="shared" si="88"/>
        <v>48.90578563433556</v>
      </c>
    </row>
    <row r="1043" spans="2:19" ht="12.75">
      <c r="B1043" s="94">
        <f t="shared" si="89"/>
        <v>497</v>
      </c>
      <c r="C1043" s="4"/>
      <c r="D1043" s="4"/>
      <c r="E1043" s="4"/>
      <c r="F1043" s="32" t="s">
        <v>164</v>
      </c>
      <c r="G1043" s="41">
        <v>642</v>
      </c>
      <c r="H1043" s="64" t="s">
        <v>133</v>
      </c>
      <c r="I1043" s="71">
        <f>SUM(I1044:I1048)</f>
        <v>77727</v>
      </c>
      <c r="J1043" s="71">
        <f>SUM(J1044:J1048)</f>
        <v>38013</v>
      </c>
      <c r="K1043" s="190">
        <f t="shared" si="85"/>
        <v>48.90578563433556</v>
      </c>
      <c r="L1043" s="178"/>
      <c r="M1043" s="71"/>
      <c r="N1043" s="71"/>
      <c r="O1043" s="189"/>
      <c r="P1043" s="178"/>
      <c r="Q1043" s="71">
        <f t="shared" si="86"/>
        <v>77727</v>
      </c>
      <c r="R1043" s="71">
        <f t="shared" si="87"/>
        <v>38013</v>
      </c>
      <c r="S1043" s="188">
        <f t="shared" si="88"/>
        <v>48.90578563433556</v>
      </c>
    </row>
    <row r="1044" spans="2:19" ht="12.75">
      <c r="B1044" s="94">
        <f t="shared" si="89"/>
        <v>498</v>
      </c>
      <c r="C1044" s="5"/>
      <c r="D1044" s="5"/>
      <c r="E1044" s="5"/>
      <c r="F1044" s="33"/>
      <c r="G1044" s="63"/>
      <c r="H1044" s="66" t="s">
        <v>406</v>
      </c>
      <c r="I1044" s="75">
        <f>21014-790</f>
        <v>20224</v>
      </c>
      <c r="J1044" s="75">
        <v>10242</v>
      </c>
      <c r="K1044" s="190">
        <f t="shared" si="85"/>
        <v>50.64280063291139</v>
      </c>
      <c r="L1044" s="99"/>
      <c r="M1044" s="75"/>
      <c r="N1044" s="75"/>
      <c r="O1044" s="189"/>
      <c r="P1044" s="99"/>
      <c r="Q1044" s="75">
        <f t="shared" si="86"/>
        <v>20224</v>
      </c>
      <c r="R1044" s="75">
        <f t="shared" si="87"/>
        <v>10242</v>
      </c>
      <c r="S1044" s="188">
        <f t="shared" si="88"/>
        <v>50.64280063291139</v>
      </c>
    </row>
    <row r="1045" spans="2:19" ht="12.75">
      <c r="B1045" s="94">
        <f t="shared" si="89"/>
        <v>499</v>
      </c>
      <c r="C1045" s="5"/>
      <c r="D1045" s="5"/>
      <c r="E1045" s="5"/>
      <c r="F1045" s="33"/>
      <c r="G1045" s="63"/>
      <c r="H1045" s="66" t="s">
        <v>407</v>
      </c>
      <c r="I1045" s="75">
        <f>23331+2175</f>
        <v>25506</v>
      </c>
      <c r="J1045" s="75">
        <v>12390</v>
      </c>
      <c r="K1045" s="190">
        <f t="shared" si="85"/>
        <v>48.5768054575394</v>
      </c>
      <c r="L1045" s="99"/>
      <c r="M1045" s="75"/>
      <c r="N1045" s="75"/>
      <c r="O1045" s="189"/>
      <c r="P1045" s="99"/>
      <c r="Q1045" s="75">
        <f t="shared" si="86"/>
        <v>25506</v>
      </c>
      <c r="R1045" s="75">
        <f t="shared" si="87"/>
        <v>12390</v>
      </c>
      <c r="S1045" s="188">
        <f t="shared" si="88"/>
        <v>48.5768054575394</v>
      </c>
    </row>
    <row r="1046" spans="2:19" ht="12.75">
      <c r="B1046" s="94">
        <f t="shared" si="89"/>
        <v>500</v>
      </c>
      <c r="C1046" s="5"/>
      <c r="D1046" s="5"/>
      <c r="E1046" s="5"/>
      <c r="F1046" s="33"/>
      <c r="G1046" s="63"/>
      <c r="H1046" s="29" t="s">
        <v>408</v>
      </c>
      <c r="I1046" s="75">
        <f>16532+2183</f>
        <v>18715</v>
      </c>
      <c r="J1046" s="75">
        <v>8994</v>
      </c>
      <c r="K1046" s="190">
        <f t="shared" si="85"/>
        <v>48.057707721079346</v>
      </c>
      <c r="L1046" s="99"/>
      <c r="M1046" s="75"/>
      <c r="N1046" s="75"/>
      <c r="O1046" s="189"/>
      <c r="P1046" s="99"/>
      <c r="Q1046" s="75">
        <f t="shared" si="86"/>
        <v>18715</v>
      </c>
      <c r="R1046" s="75">
        <f t="shared" si="87"/>
        <v>8994</v>
      </c>
      <c r="S1046" s="188">
        <f t="shared" si="88"/>
        <v>48.057707721079346</v>
      </c>
    </row>
    <row r="1047" spans="2:19" ht="12.75">
      <c r="B1047" s="94">
        <f t="shared" si="89"/>
        <v>501</v>
      </c>
      <c r="C1047" s="5"/>
      <c r="D1047" s="5"/>
      <c r="E1047" s="5"/>
      <c r="F1047" s="33"/>
      <c r="G1047" s="63"/>
      <c r="H1047" s="29" t="s">
        <v>517</v>
      </c>
      <c r="I1047" s="75">
        <f>1546+718</f>
        <v>2264</v>
      </c>
      <c r="J1047" s="75">
        <v>1014</v>
      </c>
      <c r="K1047" s="190">
        <f t="shared" si="85"/>
        <v>44.78798586572438</v>
      </c>
      <c r="L1047" s="99"/>
      <c r="M1047" s="75"/>
      <c r="N1047" s="75"/>
      <c r="O1047" s="189"/>
      <c r="P1047" s="99"/>
      <c r="Q1047" s="75">
        <f t="shared" si="86"/>
        <v>2264</v>
      </c>
      <c r="R1047" s="75">
        <f t="shared" si="87"/>
        <v>1014</v>
      </c>
      <c r="S1047" s="188">
        <f t="shared" si="88"/>
        <v>44.78798586572438</v>
      </c>
    </row>
    <row r="1048" spans="2:19" ht="12.75">
      <c r="B1048" s="94">
        <f t="shared" si="89"/>
        <v>502</v>
      </c>
      <c r="C1048" s="5"/>
      <c r="D1048" s="5"/>
      <c r="E1048" s="5"/>
      <c r="F1048" s="33"/>
      <c r="G1048" s="63"/>
      <c r="H1048" s="29" t="s">
        <v>409</v>
      </c>
      <c r="I1048" s="75">
        <f>10198+820</f>
        <v>11018</v>
      </c>
      <c r="J1048" s="75">
        <v>5373</v>
      </c>
      <c r="K1048" s="190">
        <f t="shared" si="85"/>
        <v>48.76565619894718</v>
      </c>
      <c r="L1048" s="99"/>
      <c r="M1048" s="75"/>
      <c r="N1048" s="75"/>
      <c r="O1048" s="189"/>
      <c r="P1048" s="99"/>
      <c r="Q1048" s="75">
        <f t="shared" si="86"/>
        <v>11018</v>
      </c>
      <c r="R1048" s="75">
        <f t="shared" si="87"/>
        <v>5373</v>
      </c>
      <c r="S1048" s="188">
        <f t="shared" si="88"/>
        <v>48.76565619894718</v>
      </c>
    </row>
    <row r="1049" spans="2:19" ht="12.75">
      <c r="B1049" s="94">
        <f t="shared" si="89"/>
        <v>503</v>
      </c>
      <c r="C1049" s="5"/>
      <c r="D1049" s="5"/>
      <c r="E1049" s="5"/>
      <c r="F1049" s="92" t="s">
        <v>164</v>
      </c>
      <c r="G1049" s="93">
        <v>637</v>
      </c>
      <c r="H1049" s="3" t="s">
        <v>549</v>
      </c>
      <c r="I1049" s="70">
        <v>106475</v>
      </c>
      <c r="J1049" s="70">
        <v>0</v>
      </c>
      <c r="K1049" s="190">
        <f t="shared" si="85"/>
        <v>0</v>
      </c>
      <c r="L1049" s="177"/>
      <c r="M1049" s="70"/>
      <c r="N1049" s="70"/>
      <c r="O1049" s="189"/>
      <c r="P1049" s="177"/>
      <c r="Q1049" s="70">
        <f>M1049+I1049</f>
        <v>106475</v>
      </c>
      <c r="R1049" s="70">
        <f t="shared" si="87"/>
        <v>0</v>
      </c>
      <c r="S1049" s="188">
        <f t="shared" si="88"/>
        <v>0</v>
      </c>
    </row>
    <row r="1050" spans="2:19" ht="15">
      <c r="B1050" s="94">
        <f t="shared" si="89"/>
        <v>504</v>
      </c>
      <c r="C1050" s="12"/>
      <c r="D1050" s="12"/>
      <c r="E1050" s="12">
        <v>4</v>
      </c>
      <c r="F1050" s="35"/>
      <c r="G1050" s="43"/>
      <c r="H1050" s="65" t="s">
        <v>82</v>
      </c>
      <c r="I1050" s="82">
        <f>I1051+I1059+I1067+I1074+I1081+I1088+I1096+I1103+I1110+I1117+I1124+I1131+I1139+I1146</f>
        <v>1161708</v>
      </c>
      <c r="J1050" s="82">
        <f>J1051+J1059+J1067+J1074+J1081+J1088+J1096+J1103+J1110+J1117+J1124+J1131+J1139+J1146</f>
        <v>353167</v>
      </c>
      <c r="K1050" s="190">
        <f t="shared" si="85"/>
        <v>30.40066867061258</v>
      </c>
      <c r="L1050" s="182"/>
      <c r="M1050" s="82"/>
      <c r="N1050" s="82"/>
      <c r="O1050" s="189"/>
      <c r="P1050" s="182"/>
      <c r="Q1050" s="82">
        <f t="shared" si="86"/>
        <v>1161708</v>
      </c>
      <c r="R1050" s="82">
        <f t="shared" si="87"/>
        <v>353167</v>
      </c>
      <c r="S1050" s="188">
        <f t="shared" si="88"/>
        <v>30.40066867061258</v>
      </c>
    </row>
    <row r="1051" spans="2:19" ht="12.75">
      <c r="B1051" s="94">
        <f t="shared" si="89"/>
        <v>505</v>
      </c>
      <c r="C1051" s="8"/>
      <c r="D1051" s="8"/>
      <c r="E1051" s="8" t="s">
        <v>92</v>
      </c>
      <c r="F1051" s="37"/>
      <c r="G1051" s="45"/>
      <c r="H1051" s="8" t="s">
        <v>62</v>
      </c>
      <c r="I1051" s="85">
        <f>I1052+I1053+I1054+I1058</f>
        <v>66969</v>
      </c>
      <c r="J1051" s="85">
        <f>J1052+J1053+J1054+J1058</f>
        <v>18645</v>
      </c>
      <c r="K1051" s="190">
        <f t="shared" si="85"/>
        <v>27.84123997670564</v>
      </c>
      <c r="L1051" s="177"/>
      <c r="M1051" s="85"/>
      <c r="N1051" s="85"/>
      <c r="O1051" s="189"/>
      <c r="P1051" s="177"/>
      <c r="Q1051" s="85">
        <f t="shared" si="86"/>
        <v>66969</v>
      </c>
      <c r="R1051" s="85">
        <f t="shared" si="87"/>
        <v>18645</v>
      </c>
      <c r="S1051" s="188">
        <f t="shared" si="88"/>
        <v>27.84123997670564</v>
      </c>
    </row>
    <row r="1052" spans="2:19" ht="12.75">
      <c r="B1052" s="94">
        <f t="shared" si="89"/>
        <v>506</v>
      </c>
      <c r="C1052" s="3"/>
      <c r="D1052" s="3"/>
      <c r="E1052" s="3"/>
      <c r="F1052" s="92" t="s">
        <v>164</v>
      </c>
      <c r="G1052" s="93">
        <v>610</v>
      </c>
      <c r="H1052" s="3" t="s">
        <v>134</v>
      </c>
      <c r="I1052" s="70">
        <v>24470</v>
      </c>
      <c r="J1052" s="70">
        <v>9551</v>
      </c>
      <c r="K1052" s="190">
        <f t="shared" si="85"/>
        <v>39.03146710257458</v>
      </c>
      <c r="L1052" s="177"/>
      <c r="M1052" s="70"/>
      <c r="N1052" s="70"/>
      <c r="O1052" s="189"/>
      <c r="P1052" s="177"/>
      <c r="Q1052" s="70">
        <f t="shared" si="86"/>
        <v>24470</v>
      </c>
      <c r="R1052" s="70">
        <f t="shared" si="87"/>
        <v>9551</v>
      </c>
      <c r="S1052" s="188">
        <f t="shared" si="88"/>
        <v>39.03146710257458</v>
      </c>
    </row>
    <row r="1053" spans="2:19" ht="12.75">
      <c r="B1053" s="94">
        <f t="shared" si="89"/>
        <v>507</v>
      </c>
      <c r="C1053" s="3"/>
      <c r="D1053" s="3"/>
      <c r="E1053" s="3"/>
      <c r="F1053" s="92" t="s">
        <v>164</v>
      </c>
      <c r="G1053" s="93">
        <v>620</v>
      </c>
      <c r="H1053" s="3" t="s">
        <v>128</v>
      </c>
      <c r="I1053" s="70">
        <v>9042</v>
      </c>
      <c r="J1053" s="70">
        <v>2522</v>
      </c>
      <c r="K1053" s="190">
        <f t="shared" si="85"/>
        <v>27.892059278920595</v>
      </c>
      <c r="L1053" s="177"/>
      <c r="M1053" s="70"/>
      <c r="N1053" s="70"/>
      <c r="O1053" s="189"/>
      <c r="P1053" s="177"/>
      <c r="Q1053" s="70">
        <f t="shared" si="86"/>
        <v>9042</v>
      </c>
      <c r="R1053" s="70">
        <f t="shared" si="87"/>
        <v>2522</v>
      </c>
      <c r="S1053" s="188">
        <f t="shared" si="88"/>
        <v>27.892059278920595</v>
      </c>
    </row>
    <row r="1054" spans="2:19" ht="12.75">
      <c r="B1054" s="94">
        <f t="shared" si="89"/>
        <v>508</v>
      </c>
      <c r="C1054" s="3"/>
      <c r="D1054" s="3"/>
      <c r="E1054" s="3"/>
      <c r="F1054" s="92" t="s">
        <v>164</v>
      </c>
      <c r="G1054" s="93">
        <v>630</v>
      </c>
      <c r="H1054" s="3" t="s">
        <v>125</v>
      </c>
      <c r="I1054" s="70">
        <f>SUM(I1055:I1057)</f>
        <v>31955</v>
      </c>
      <c r="J1054" s="70">
        <f>SUM(J1055:J1057)</f>
        <v>6473</v>
      </c>
      <c r="K1054" s="190">
        <f t="shared" si="85"/>
        <v>20.256610859020498</v>
      </c>
      <c r="L1054" s="177"/>
      <c r="M1054" s="70"/>
      <c r="N1054" s="70"/>
      <c r="O1054" s="189"/>
      <c r="P1054" s="177"/>
      <c r="Q1054" s="70">
        <f t="shared" si="86"/>
        <v>31955</v>
      </c>
      <c r="R1054" s="70">
        <f t="shared" si="87"/>
        <v>6473</v>
      </c>
      <c r="S1054" s="188">
        <f t="shared" si="88"/>
        <v>20.256610859020498</v>
      </c>
    </row>
    <row r="1055" spans="2:19" ht="12.75">
      <c r="B1055" s="94">
        <f t="shared" si="89"/>
        <v>509</v>
      </c>
      <c r="C1055" s="4"/>
      <c r="D1055" s="4"/>
      <c r="E1055" s="4"/>
      <c r="F1055" s="32" t="s">
        <v>164</v>
      </c>
      <c r="G1055" s="41">
        <v>633</v>
      </c>
      <c r="H1055" s="4" t="s">
        <v>129</v>
      </c>
      <c r="I1055" s="71">
        <v>29585</v>
      </c>
      <c r="J1055" s="71">
        <v>6197</v>
      </c>
      <c r="K1055" s="190">
        <f t="shared" si="85"/>
        <v>20.946425553489945</v>
      </c>
      <c r="L1055" s="178"/>
      <c r="M1055" s="71"/>
      <c r="N1055" s="71"/>
      <c r="O1055" s="189"/>
      <c r="P1055" s="178"/>
      <c r="Q1055" s="71">
        <f t="shared" si="86"/>
        <v>29585</v>
      </c>
      <c r="R1055" s="71">
        <f t="shared" si="87"/>
        <v>6197</v>
      </c>
      <c r="S1055" s="188">
        <f t="shared" si="88"/>
        <v>20.946425553489945</v>
      </c>
    </row>
    <row r="1056" spans="2:19" ht="12.75">
      <c r="B1056" s="94">
        <f t="shared" si="89"/>
        <v>510</v>
      </c>
      <c r="C1056" s="4"/>
      <c r="D1056" s="4"/>
      <c r="E1056" s="4"/>
      <c r="F1056" s="32" t="s">
        <v>164</v>
      </c>
      <c r="G1056" s="41">
        <v>635</v>
      </c>
      <c r="H1056" s="4" t="s">
        <v>136</v>
      </c>
      <c r="I1056" s="71">
        <v>1200</v>
      </c>
      <c r="J1056" s="71">
        <v>0</v>
      </c>
      <c r="K1056" s="190">
        <f t="shared" si="85"/>
        <v>0</v>
      </c>
      <c r="L1056" s="178"/>
      <c r="M1056" s="71"/>
      <c r="N1056" s="71"/>
      <c r="O1056" s="189"/>
      <c r="P1056" s="178"/>
      <c r="Q1056" s="71">
        <f t="shared" si="86"/>
        <v>1200</v>
      </c>
      <c r="R1056" s="71">
        <f t="shared" si="87"/>
        <v>0</v>
      </c>
      <c r="S1056" s="188">
        <f t="shared" si="88"/>
        <v>0</v>
      </c>
    </row>
    <row r="1057" spans="2:19" ht="12.75">
      <c r="B1057" s="94">
        <f t="shared" si="89"/>
        <v>511</v>
      </c>
      <c r="C1057" s="4"/>
      <c r="D1057" s="4"/>
      <c r="E1057" s="4"/>
      <c r="F1057" s="32" t="s">
        <v>164</v>
      </c>
      <c r="G1057" s="41">
        <v>637</v>
      </c>
      <c r="H1057" s="4" t="s">
        <v>126</v>
      </c>
      <c r="I1057" s="71">
        <v>1170</v>
      </c>
      <c r="J1057" s="71">
        <v>276</v>
      </c>
      <c r="K1057" s="190">
        <f t="shared" si="85"/>
        <v>23.589743589743588</v>
      </c>
      <c r="L1057" s="178"/>
      <c r="M1057" s="71"/>
      <c r="N1057" s="71"/>
      <c r="O1057" s="189"/>
      <c r="P1057" s="178"/>
      <c r="Q1057" s="71">
        <f t="shared" si="86"/>
        <v>1170</v>
      </c>
      <c r="R1057" s="71">
        <f t="shared" si="87"/>
        <v>276</v>
      </c>
      <c r="S1057" s="188">
        <f t="shared" si="88"/>
        <v>23.589743589743588</v>
      </c>
    </row>
    <row r="1058" spans="2:19" ht="12.75">
      <c r="B1058" s="94">
        <f t="shared" si="89"/>
        <v>512</v>
      </c>
      <c r="C1058" s="3"/>
      <c r="D1058" s="3"/>
      <c r="E1058" s="3"/>
      <c r="F1058" s="92" t="s">
        <v>164</v>
      </c>
      <c r="G1058" s="93">
        <v>640</v>
      </c>
      <c r="H1058" s="3" t="s">
        <v>132</v>
      </c>
      <c r="I1058" s="70">
        <v>1502</v>
      </c>
      <c r="J1058" s="70">
        <v>99</v>
      </c>
      <c r="K1058" s="190">
        <f t="shared" si="85"/>
        <v>6.5912117177097205</v>
      </c>
      <c r="L1058" s="177"/>
      <c r="M1058" s="70"/>
      <c r="N1058" s="70"/>
      <c r="O1058" s="189"/>
      <c r="P1058" s="177"/>
      <c r="Q1058" s="70">
        <f t="shared" si="86"/>
        <v>1502</v>
      </c>
      <c r="R1058" s="70">
        <f t="shared" si="87"/>
        <v>99</v>
      </c>
      <c r="S1058" s="188">
        <f t="shared" si="88"/>
        <v>6.5912117177097205</v>
      </c>
    </row>
    <row r="1059" spans="2:19" ht="12.75">
      <c r="B1059" s="94">
        <f t="shared" si="89"/>
        <v>513</v>
      </c>
      <c r="C1059" s="8"/>
      <c r="D1059" s="8"/>
      <c r="E1059" s="8" t="s">
        <v>91</v>
      </c>
      <c r="F1059" s="37"/>
      <c r="G1059" s="45"/>
      <c r="H1059" s="8" t="s">
        <v>235</v>
      </c>
      <c r="I1059" s="85">
        <f>I1060+I1061+I1062+I1066</f>
        <v>100982</v>
      </c>
      <c r="J1059" s="85">
        <f>J1060+J1061+J1062+J1066</f>
        <v>29352</v>
      </c>
      <c r="K1059" s="190">
        <f t="shared" si="85"/>
        <v>29.066566318749874</v>
      </c>
      <c r="L1059" s="177"/>
      <c r="M1059" s="85"/>
      <c r="N1059" s="85"/>
      <c r="O1059" s="189"/>
      <c r="P1059" s="177"/>
      <c r="Q1059" s="85">
        <f t="shared" si="86"/>
        <v>100982</v>
      </c>
      <c r="R1059" s="85">
        <f t="shared" si="87"/>
        <v>29352</v>
      </c>
      <c r="S1059" s="188">
        <f t="shared" si="88"/>
        <v>29.066566318749874</v>
      </c>
    </row>
    <row r="1060" spans="2:19" ht="12.75">
      <c r="B1060" s="94">
        <f t="shared" si="89"/>
        <v>514</v>
      </c>
      <c r="C1060" s="3"/>
      <c r="D1060" s="3"/>
      <c r="E1060" s="3"/>
      <c r="F1060" s="92" t="s">
        <v>164</v>
      </c>
      <c r="G1060" s="93">
        <v>610</v>
      </c>
      <c r="H1060" s="3" t="s">
        <v>134</v>
      </c>
      <c r="I1060" s="70">
        <v>35978</v>
      </c>
      <c r="J1060" s="70">
        <v>13780</v>
      </c>
      <c r="K1060" s="190">
        <f t="shared" si="85"/>
        <v>38.301184056923674</v>
      </c>
      <c r="L1060" s="177"/>
      <c r="M1060" s="70"/>
      <c r="N1060" s="70"/>
      <c r="O1060" s="189"/>
      <c r="P1060" s="177"/>
      <c r="Q1060" s="70">
        <f t="shared" si="86"/>
        <v>35978</v>
      </c>
      <c r="R1060" s="70">
        <f t="shared" si="87"/>
        <v>13780</v>
      </c>
      <c r="S1060" s="188">
        <f t="shared" si="88"/>
        <v>38.301184056923674</v>
      </c>
    </row>
    <row r="1061" spans="2:19" ht="12.75">
      <c r="B1061" s="94">
        <f t="shared" si="89"/>
        <v>515</v>
      </c>
      <c r="C1061" s="3"/>
      <c r="D1061" s="3"/>
      <c r="E1061" s="3"/>
      <c r="F1061" s="92" t="s">
        <v>164</v>
      </c>
      <c r="G1061" s="93">
        <v>620</v>
      </c>
      <c r="H1061" s="3" t="s">
        <v>128</v>
      </c>
      <c r="I1061" s="70">
        <v>13294</v>
      </c>
      <c r="J1061" s="70">
        <v>5349</v>
      </c>
      <c r="K1061" s="190">
        <f t="shared" si="85"/>
        <v>40.23619678050248</v>
      </c>
      <c r="L1061" s="177"/>
      <c r="M1061" s="70"/>
      <c r="N1061" s="70"/>
      <c r="O1061" s="189"/>
      <c r="P1061" s="177"/>
      <c r="Q1061" s="70">
        <f t="shared" si="86"/>
        <v>13294</v>
      </c>
      <c r="R1061" s="70">
        <f t="shared" si="87"/>
        <v>5349</v>
      </c>
      <c r="S1061" s="188">
        <f t="shared" si="88"/>
        <v>40.23619678050248</v>
      </c>
    </row>
    <row r="1062" spans="2:19" ht="12.75">
      <c r="B1062" s="94">
        <f t="shared" si="89"/>
        <v>516</v>
      </c>
      <c r="C1062" s="3"/>
      <c r="D1062" s="3"/>
      <c r="E1062" s="3"/>
      <c r="F1062" s="92" t="s">
        <v>164</v>
      </c>
      <c r="G1062" s="93">
        <v>630</v>
      </c>
      <c r="H1062" s="3" t="s">
        <v>125</v>
      </c>
      <c r="I1062" s="70">
        <f>SUM(I1063:I1065)</f>
        <v>50337</v>
      </c>
      <c r="J1062" s="70">
        <f>SUM(J1063:J1065)</f>
        <v>8975</v>
      </c>
      <c r="K1062" s="190">
        <f t="shared" si="85"/>
        <v>17.82982696624749</v>
      </c>
      <c r="L1062" s="177"/>
      <c r="M1062" s="70"/>
      <c r="N1062" s="70"/>
      <c r="O1062" s="189"/>
      <c r="P1062" s="177"/>
      <c r="Q1062" s="70">
        <f t="shared" si="86"/>
        <v>50337</v>
      </c>
      <c r="R1062" s="70">
        <f t="shared" si="87"/>
        <v>8975</v>
      </c>
      <c r="S1062" s="188">
        <f t="shared" si="88"/>
        <v>17.82982696624749</v>
      </c>
    </row>
    <row r="1063" spans="2:19" ht="12.75">
      <c r="B1063" s="94">
        <f t="shared" si="89"/>
        <v>517</v>
      </c>
      <c r="C1063" s="4"/>
      <c r="D1063" s="4"/>
      <c r="E1063" s="4"/>
      <c r="F1063" s="32" t="s">
        <v>164</v>
      </c>
      <c r="G1063" s="41">
        <v>633</v>
      </c>
      <c r="H1063" s="4" t="s">
        <v>129</v>
      </c>
      <c r="I1063" s="71">
        <v>47465</v>
      </c>
      <c r="J1063" s="71">
        <v>8203</v>
      </c>
      <c r="K1063" s="190">
        <f aca="true" t="shared" si="90" ref="K1063:K1126">J1063/I1063*100</f>
        <v>17.282207942694615</v>
      </c>
      <c r="L1063" s="178"/>
      <c r="M1063" s="71"/>
      <c r="N1063" s="71"/>
      <c r="O1063" s="189"/>
      <c r="P1063" s="178"/>
      <c r="Q1063" s="71">
        <f aca="true" t="shared" si="91" ref="Q1063:Q1126">M1063+I1063</f>
        <v>47465</v>
      </c>
      <c r="R1063" s="71">
        <f aca="true" t="shared" si="92" ref="R1063:R1126">N1063+J1063</f>
        <v>8203</v>
      </c>
      <c r="S1063" s="188">
        <f aca="true" t="shared" si="93" ref="S1063:S1126">R1063/Q1063*100</f>
        <v>17.282207942694615</v>
      </c>
    </row>
    <row r="1064" spans="2:19" ht="12.75">
      <c r="B1064" s="94">
        <f t="shared" si="89"/>
        <v>518</v>
      </c>
      <c r="C1064" s="4"/>
      <c r="D1064" s="4"/>
      <c r="E1064" s="4"/>
      <c r="F1064" s="32" t="s">
        <v>164</v>
      </c>
      <c r="G1064" s="41">
        <v>635</v>
      </c>
      <c r="H1064" s="4" t="s">
        <v>136</v>
      </c>
      <c r="I1064" s="71">
        <v>1100</v>
      </c>
      <c r="J1064" s="71">
        <v>429</v>
      </c>
      <c r="K1064" s="190">
        <f t="shared" si="90"/>
        <v>39</v>
      </c>
      <c r="L1064" s="178"/>
      <c r="M1064" s="71"/>
      <c r="N1064" s="71"/>
      <c r="O1064" s="189"/>
      <c r="P1064" s="178"/>
      <c r="Q1064" s="71">
        <f t="shared" si="91"/>
        <v>1100</v>
      </c>
      <c r="R1064" s="71">
        <f t="shared" si="92"/>
        <v>429</v>
      </c>
      <c r="S1064" s="188">
        <f t="shared" si="93"/>
        <v>39</v>
      </c>
    </row>
    <row r="1065" spans="2:19" ht="12.75">
      <c r="B1065" s="94">
        <f aca="true" t="shared" si="94" ref="B1065:B1128">B1064+1</f>
        <v>519</v>
      </c>
      <c r="C1065" s="4"/>
      <c r="D1065" s="4"/>
      <c r="E1065" s="4"/>
      <c r="F1065" s="32" t="s">
        <v>164</v>
      </c>
      <c r="G1065" s="41">
        <v>637</v>
      </c>
      <c r="H1065" s="4" t="s">
        <v>126</v>
      </c>
      <c r="I1065" s="71">
        <v>1772</v>
      </c>
      <c r="J1065" s="71">
        <v>343</v>
      </c>
      <c r="K1065" s="190">
        <f t="shared" si="90"/>
        <v>19.35665914221219</v>
      </c>
      <c r="L1065" s="178"/>
      <c r="M1065" s="71"/>
      <c r="N1065" s="71"/>
      <c r="O1065" s="189"/>
      <c r="P1065" s="178"/>
      <c r="Q1065" s="71">
        <f t="shared" si="91"/>
        <v>1772</v>
      </c>
      <c r="R1065" s="71">
        <f t="shared" si="92"/>
        <v>343</v>
      </c>
      <c r="S1065" s="188">
        <f t="shared" si="93"/>
        <v>19.35665914221219</v>
      </c>
    </row>
    <row r="1066" spans="2:19" ht="12.75">
      <c r="B1066" s="94">
        <f t="shared" si="94"/>
        <v>520</v>
      </c>
      <c r="C1066" s="3"/>
      <c r="D1066" s="3"/>
      <c r="E1066" s="3"/>
      <c r="F1066" s="92" t="s">
        <v>164</v>
      </c>
      <c r="G1066" s="93">
        <v>640</v>
      </c>
      <c r="H1066" s="3" t="s">
        <v>132</v>
      </c>
      <c r="I1066" s="70">
        <v>1373</v>
      </c>
      <c r="J1066" s="70">
        <v>1248</v>
      </c>
      <c r="K1066" s="190">
        <f t="shared" si="90"/>
        <v>90.89584850691915</v>
      </c>
      <c r="L1066" s="177"/>
      <c r="M1066" s="70"/>
      <c r="N1066" s="70"/>
      <c r="O1066" s="189"/>
      <c r="P1066" s="177"/>
      <c r="Q1066" s="70">
        <f t="shared" si="91"/>
        <v>1373</v>
      </c>
      <c r="R1066" s="70">
        <f t="shared" si="92"/>
        <v>1248</v>
      </c>
      <c r="S1066" s="188">
        <f t="shared" si="93"/>
        <v>90.89584850691915</v>
      </c>
    </row>
    <row r="1067" spans="2:19" ht="12.75">
      <c r="B1067" s="94">
        <f t="shared" si="94"/>
        <v>521</v>
      </c>
      <c r="C1067" s="8"/>
      <c r="D1067" s="8"/>
      <c r="E1067" s="8" t="s">
        <v>85</v>
      </c>
      <c r="F1067" s="37"/>
      <c r="G1067" s="45"/>
      <c r="H1067" s="8" t="s">
        <v>61</v>
      </c>
      <c r="I1067" s="85">
        <f>I1068+I1069+I1070</f>
        <v>66661</v>
      </c>
      <c r="J1067" s="85">
        <f>J1068+J1069+J1070</f>
        <v>19934</v>
      </c>
      <c r="K1067" s="190">
        <f t="shared" si="90"/>
        <v>29.90354180105309</v>
      </c>
      <c r="L1067" s="177"/>
      <c r="M1067" s="85"/>
      <c r="N1067" s="85"/>
      <c r="O1067" s="189"/>
      <c r="P1067" s="177"/>
      <c r="Q1067" s="85">
        <f t="shared" si="91"/>
        <v>66661</v>
      </c>
      <c r="R1067" s="85">
        <f t="shared" si="92"/>
        <v>19934</v>
      </c>
      <c r="S1067" s="188">
        <f t="shared" si="93"/>
        <v>29.90354180105309</v>
      </c>
    </row>
    <row r="1068" spans="2:19" ht="12.75">
      <c r="B1068" s="94">
        <f t="shared" si="94"/>
        <v>522</v>
      </c>
      <c r="C1068" s="3"/>
      <c r="D1068" s="3"/>
      <c r="E1068" s="3"/>
      <c r="F1068" s="92" t="s">
        <v>164</v>
      </c>
      <c r="G1068" s="93">
        <v>610</v>
      </c>
      <c r="H1068" s="3" t="s">
        <v>134</v>
      </c>
      <c r="I1068" s="70">
        <v>24674</v>
      </c>
      <c r="J1068" s="70">
        <v>9700</v>
      </c>
      <c r="K1068" s="190">
        <f t="shared" si="90"/>
        <v>39.31263678365891</v>
      </c>
      <c r="L1068" s="177"/>
      <c r="M1068" s="70"/>
      <c r="N1068" s="70"/>
      <c r="O1068" s="189"/>
      <c r="P1068" s="177"/>
      <c r="Q1068" s="70">
        <f t="shared" si="91"/>
        <v>24674</v>
      </c>
      <c r="R1068" s="70">
        <f t="shared" si="92"/>
        <v>9700</v>
      </c>
      <c r="S1068" s="188">
        <f t="shared" si="93"/>
        <v>39.31263678365891</v>
      </c>
    </row>
    <row r="1069" spans="2:19" ht="12.75">
      <c r="B1069" s="94">
        <f t="shared" si="94"/>
        <v>523</v>
      </c>
      <c r="C1069" s="3"/>
      <c r="D1069" s="3"/>
      <c r="E1069" s="3"/>
      <c r="F1069" s="92" t="s">
        <v>164</v>
      </c>
      <c r="G1069" s="93">
        <v>620</v>
      </c>
      <c r="H1069" s="3" t="s">
        <v>128</v>
      </c>
      <c r="I1069" s="70">
        <v>9117</v>
      </c>
      <c r="J1069" s="70">
        <v>3488</v>
      </c>
      <c r="K1069" s="190">
        <f t="shared" si="90"/>
        <v>38.25819896895909</v>
      </c>
      <c r="L1069" s="177"/>
      <c r="M1069" s="70"/>
      <c r="N1069" s="70"/>
      <c r="O1069" s="189"/>
      <c r="P1069" s="177"/>
      <c r="Q1069" s="70">
        <f t="shared" si="91"/>
        <v>9117</v>
      </c>
      <c r="R1069" s="70">
        <f t="shared" si="92"/>
        <v>3488</v>
      </c>
      <c r="S1069" s="188">
        <f t="shared" si="93"/>
        <v>38.25819896895909</v>
      </c>
    </row>
    <row r="1070" spans="2:19" ht="12.75">
      <c r="B1070" s="94">
        <f t="shared" si="94"/>
        <v>524</v>
      </c>
      <c r="C1070" s="3"/>
      <c r="D1070" s="3"/>
      <c r="E1070" s="3"/>
      <c r="F1070" s="92" t="s">
        <v>164</v>
      </c>
      <c r="G1070" s="93">
        <v>630</v>
      </c>
      <c r="H1070" s="3" t="s">
        <v>125</v>
      </c>
      <c r="I1070" s="70">
        <f>SUM(I1071:I1073)</f>
        <v>32870</v>
      </c>
      <c r="J1070" s="70">
        <f>SUM(J1071:J1073)</f>
        <v>6746</v>
      </c>
      <c r="K1070" s="190">
        <f t="shared" si="90"/>
        <v>20.52327350167326</v>
      </c>
      <c r="L1070" s="177"/>
      <c r="M1070" s="70"/>
      <c r="N1070" s="70"/>
      <c r="O1070" s="189"/>
      <c r="P1070" s="177"/>
      <c r="Q1070" s="70">
        <f t="shared" si="91"/>
        <v>32870</v>
      </c>
      <c r="R1070" s="70">
        <f t="shared" si="92"/>
        <v>6746</v>
      </c>
      <c r="S1070" s="188">
        <f t="shared" si="93"/>
        <v>20.52327350167326</v>
      </c>
    </row>
    <row r="1071" spans="2:19" ht="12.75">
      <c r="B1071" s="94">
        <f t="shared" si="94"/>
        <v>525</v>
      </c>
      <c r="C1071" s="4"/>
      <c r="D1071" s="4"/>
      <c r="E1071" s="4"/>
      <c r="F1071" s="32" t="s">
        <v>164</v>
      </c>
      <c r="G1071" s="41">
        <v>633</v>
      </c>
      <c r="H1071" s="4" t="s">
        <v>129</v>
      </c>
      <c r="I1071" s="71">
        <v>30645</v>
      </c>
      <c r="J1071" s="71">
        <v>6464</v>
      </c>
      <c r="K1071" s="190">
        <f t="shared" si="90"/>
        <v>21.093163648229726</v>
      </c>
      <c r="L1071" s="178"/>
      <c r="M1071" s="71"/>
      <c r="N1071" s="71"/>
      <c r="O1071" s="189"/>
      <c r="P1071" s="178"/>
      <c r="Q1071" s="71">
        <f t="shared" si="91"/>
        <v>30645</v>
      </c>
      <c r="R1071" s="71">
        <f t="shared" si="92"/>
        <v>6464</v>
      </c>
      <c r="S1071" s="188">
        <f t="shared" si="93"/>
        <v>21.093163648229726</v>
      </c>
    </row>
    <row r="1072" spans="2:19" ht="12.75">
      <c r="B1072" s="94">
        <f t="shared" si="94"/>
        <v>526</v>
      </c>
      <c r="C1072" s="4"/>
      <c r="D1072" s="4"/>
      <c r="E1072" s="4"/>
      <c r="F1072" s="32" t="s">
        <v>164</v>
      </c>
      <c r="G1072" s="41">
        <v>635</v>
      </c>
      <c r="H1072" s="4" t="s">
        <v>136</v>
      </c>
      <c r="I1072" s="71">
        <v>1200</v>
      </c>
      <c r="J1072" s="71">
        <v>0</v>
      </c>
      <c r="K1072" s="190">
        <f t="shared" si="90"/>
        <v>0</v>
      </c>
      <c r="L1072" s="178"/>
      <c r="M1072" s="71"/>
      <c r="N1072" s="71"/>
      <c r="O1072" s="189"/>
      <c r="P1072" s="178"/>
      <c r="Q1072" s="71">
        <f t="shared" si="91"/>
        <v>1200</v>
      </c>
      <c r="R1072" s="71">
        <f t="shared" si="92"/>
        <v>0</v>
      </c>
      <c r="S1072" s="188">
        <f t="shared" si="93"/>
        <v>0</v>
      </c>
    </row>
    <row r="1073" spans="2:19" ht="12.75">
      <c r="B1073" s="94">
        <f t="shared" si="94"/>
        <v>527</v>
      </c>
      <c r="C1073" s="4"/>
      <c r="D1073" s="4"/>
      <c r="E1073" s="4"/>
      <c r="F1073" s="32" t="s">
        <v>164</v>
      </c>
      <c r="G1073" s="41">
        <v>637</v>
      </c>
      <c r="H1073" s="4" t="s">
        <v>126</v>
      </c>
      <c r="I1073" s="71">
        <v>1025</v>
      </c>
      <c r="J1073" s="71">
        <v>282</v>
      </c>
      <c r="K1073" s="190">
        <f t="shared" si="90"/>
        <v>27.512195121951223</v>
      </c>
      <c r="L1073" s="178"/>
      <c r="M1073" s="71"/>
      <c r="N1073" s="71"/>
      <c r="O1073" s="189"/>
      <c r="P1073" s="178"/>
      <c r="Q1073" s="71">
        <f t="shared" si="91"/>
        <v>1025</v>
      </c>
      <c r="R1073" s="71">
        <f t="shared" si="92"/>
        <v>282</v>
      </c>
      <c r="S1073" s="188">
        <f t="shared" si="93"/>
        <v>27.512195121951223</v>
      </c>
    </row>
    <row r="1074" spans="2:19" ht="12.75">
      <c r="B1074" s="94">
        <f t="shared" si="94"/>
        <v>528</v>
      </c>
      <c r="C1074" s="8"/>
      <c r="D1074" s="8"/>
      <c r="E1074" s="8" t="s">
        <v>95</v>
      </c>
      <c r="F1074" s="37"/>
      <c r="G1074" s="45"/>
      <c r="H1074" s="8" t="s">
        <v>96</v>
      </c>
      <c r="I1074" s="85">
        <f>I1075+I1076+I1077</f>
        <v>75769</v>
      </c>
      <c r="J1074" s="85">
        <f>J1075+J1076+J1077</f>
        <v>23416</v>
      </c>
      <c r="K1074" s="190">
        <f t="shared" si="90"/>
        <v>30.90445960749119</v>
      </c>
      <c r="L1074" s="177"/>
      <c r="M1074" s="85"/>
      <c r="N1074" s="85"/>
      <c r="O1074" s="189"/>
      <c r="P1074" s="177"/>
      <c r="Q1074" s="85">
        <f t="shared" si="91"/>
        <v>75769</v>
      </c>
      <c r="R1074" s="85">
        <f t="shared" si="92"/>
        <v>23416</v>
      </c>
      <c r="S1074" s="188">
        <f t="shared" si="93"/>
        <v>30.90445960749119</v>
      </c>
    </row>
    <row r="1075" spans="2:19" ht="12.75">
      <c r="B1075" s="94">
        <f t="shared" si="94"/>
        <v>529</v>
      </c>
      <c r="C1075" s="3"/>
      <c r="D1075" s="3"/>
      <c r="E1075" s="3"/>
      <c r="F1075" s="92" t="s">
        <v>164</v>
      </c>
      <c r="G1075" s="93">
        <v>610</v>
      </c>
      <c r="H1075" s="3" t="s">
        <v>134</v>
      </c>
      <c r="I1075" s="70">
        <v>26120</v>
      </c>
      <c r="J1075" s="70">
        <v>12070</v>
      </c>
      <c r="K1075" s="190">
        <f t="shared" si="90"/>
        <v>46.209800918836144</v>
      </c>
      <c r="L1075" s="177"/>
      <c r="M1075" s="70"/>
      <c r="N1075" s="70"/>
      <c r="O1075" s="189"/>
      <c r="P1075" s="177"/>
      <c r="Q1075" s="70">
        <f t="shared" si="91"/>
        <v>26120</v>
      </c>
      <c r="R1075" s="70">
        <f t="shared" si="92"/>
        <v>12070</v>
      </c>
      <c r="S1075" s="188">
        <f t="shared" si="93"/>
        <v>46.209800918836144</v>
      </c>
    </row>
    <row r="1076" spans="2:19" ht="12.75">
      <c r="B1076" s="94">
        <f t="shared" si="94"/>
        <v>530</v>
      </c>
      <c r="C1076" s="3"/>
      <c r="D1076" s="3"/>
      <c r="E1076" s="3"/>
      <c r="F1076" s="92" t="s">
        <v>164</v>
      </c>
      <c r="G1076" s="93">
        <v>620</v>
      </c>
      <c r="H1076" s="3" t="s">
        <v>128</v>
      </c>
      <c r="I1076" s="70">
        <v>9651</v>
      </c>
      <c r="J1076" s="70">
        <v>4324</v>
      </c>
      <c r="K1076" s="190">
        <f t="shared" si="90"/>
        <v>44.803647290436224</v>
      </c>
      <c r="L1076" s="177"/>
      <c r="M1076" s="70"/>
      <c r="N1076" s="70"/>
      <c r="O1076" s="189"/>
      <c r="P1076" s="177"/>
      <c r="Q1076" s="70">
        <f t="shared" si="91"/>
        <v>9651</v>
      </c>
      <c r="R1076" s="70">
        <f t="shared" si="92"/>
        <v>4324</v>
      </c>
      <c r="S1076" s="188">
        <f t="shared" si="93"/>
        <v>44.803647290436224</v>
      </c>
    </row>
    <row r="1077" spans="2:19" ht="12.75">
      <c r="B1077" s="94">
        <f t="shared" si="94"/>
        <v>531</v>
      </c>
      <c r="C1077" s="3"/>
      <c r="D1077" s="3"/>
      <c r="E1077" s="3"/>
      <c r="F1077" s="92" t="s">
        <v>164</v>
      </c>
      <c r="G1077" s="93">
        <v>630</v>
      </c>
      <c r="H1077" s="3" t="s">
        <v>125</v>
      </c>
      <c r="I1077" s="70">
        <f>SUM(I1078:I1080)</f>
        <v>39998</v>
      </c>
      <c r="J1077" s="70">
        <f>SUM(J1078:J1080)</f>
        <v>7022</v>
      </c>
      <c r="K1077" s="190">
        <f t="shared" si="90"/>
        <v>17.555877793889692</v>
      </c>
      <c r="L1077" s="177"/>
      <c r="M1077" s="70"/>
      <c r="N1077" s="70"/>
      <c r="O1077" s="189"/>
      <c r="P1077" s="177"/>
      <c r="Q1077" s="70">
        <f t="shared" si="91"/>
        <v>39998</v>
      </c>
      <c r="R1077" s="70">
        <f t="shared" si="92"/>
        <v>7022</v>
      </c>
      <c r="S1077" s="188">
        <f t="shared" si="93"/>
        <v>17.555877793889692</v>
      </c>
    </row>
    <row r="1078" spans="2:19" ht="12.75">
      <c r="B1078" s="94">
        <f t="shared" si="94"/>
        <v>532</v>
      </c>
      <c r="C1078" s="4"/>
      <c r="D1078" s="4"/>
      <c r="E1078" s="4"/>
      <c r="F1078" s="32" t="s">
        <v>164</v>
      </c>
      <c r="G1078" s="41">
        <v>633</v>
      </c>
      <c r="H1078" s="4" t="s">
        <v>129</v>
      </c>
      <c r="I1078" s="71">
        <v>36455</v>
      </c>
      <c r="J1078" s="71">
        <v>6708</v>
      </c>
      <c r="K1078" s="190">
        <f t="shared" si="90"/>
        <v>18.400768070223563</v>
      </c>
      <c r="L1078" s="178"/>
      <c r="M1078" s="71"/>
      <c r="N1078" s="71"/>
      <c r="O1078" s="189"/>
      <c r="P1078" s="178"/>
      <c r="Q1078" s="71">
        <f t="shared" si="91"/>
        <v>36455</v>
      </c>
      <c r="R1078" s="71">
        <f t="shared" si="92"/>
        <v>6708</v>
      </c>
      <c r="S1078" s="188">
        <f t="shared" si="93"/>
        <v>18.400768070223563</v>
      </c>
    </row>
    <row r="1079" spans="2:19" ht="12.75">
      <c r="B1079" s="94">
        <f t="shared" si="94"/>
        <v>533</v>
      </c>
      <c r="C1079" s="4"/>
      <c r="D1079" s="4"/>
      <c r="E1079" s="4"/>
      <c r="F1079" s="32" t="s">
        <v>164</v>
      </c>
      <c r="G1079" s="41">
        <v>635</v>
      </c>
      <c r="H1079" s="4" t="s">
        <v>136</v>
      </c>
      <c r="I1079" s="71">
        <v>2650</v>
      </c>
      <c r="J1079" s="71">
        <v>64</v>
      </c>
      <c r="K1079" s="190">
        <f t="shared" si="90"/>
        <v>2.4150943396226414</v>
      </c>
      <c r="L1079" s="178"/>
      <c r="M1079" s="71"/>
      <c r="N1079" s="71"/>
      <c r="O1079" s="189"/>
      <c r="P1079" s="178"/>
      <c r="Q1079" s="71">
        <f t="shared" si="91"/>
        <v>2650</v>
      </c>
      <c r="R1079" s="71">
        <f t="shared" si="92"/>
        <v>64</v>
      </c>
      <c r="S1079" s="188">
        <f t="shared" si="93"/>
        <v>2.4150943396226414</v>
      </c>
    </row>
    <row r="1080" spans="2:19" ht="12.75">
      <c r="B1080" s="94">
        <f t="shared" si="94"/>
        <v>534</v>
      </c>
      <c r="C1080" s="4"/>
      <c r="D1080" s="4"/>
      <c r="E1080" s="4"/>
      <c r="F1080" s="32" t="s">
        <v>164</v>
      </c>
      <c r="G1080" s="41">
        <v>637</v>
      </c>
      <c r="H1080" s="4" t="s">
        <v>126</v>
      </c>
      <c r="I1080" s="71">
        <v>893</v>
      </c>
      <c r="J1080" s="71">
        <v>250</v>
      </c>
      <c r="K1080" s="190">
        <f t="shared" si="90"/>
        <v>27.99552071668533</v>
      </c>
      <c r="L1080" s="178"/>
      <c r="M1080" s="71"/>
      <c r="N1080" s="71"/>
      <c r="O1080" s="189"/>
      <c r="P1080" s="178"/>
      <c r="Q1080" s="71">
        <f t="shared" si="91"/>
        <v>893</v>
      </c>
      <c r="R1080" s="71">
        <f t="shared" si="92"/>
        <v>250</v>
      </c>
      <c r="S1080" s="188">
        <f t="shared" si="93"/>
        <v>27.99552071668533</v>
      </c>
    </row>
    <row r="1081" spans="2:19" ht="12.75">
      <c r="B1081" s="94">
        <f t="shared" si="94"/>
        <v>535</v>
      </c>
      <c r="C1081" s="8"/>
      <c r="D1081" s="8"/>
      <c r="E1081" s="8" t="s">
        <v>98</v>
      </c>
      <c r="F1081" s="37"/>
      <c r="G1081" s="45"/>
      <c r="H1081" s="8" t="s">
        <v>99</v>
      </c>
      <c r="I1081" s="85">
        <f>I1082+I1083+I1084</f>
        <v>71846</v>
      </c>
      <c r="J1081" s="85">
        <f>J1082+J1083+J1084</f>
        <v>23542</v>
      </c>
      <c r="K1081" s="190">
        <f t="shared" si="90"/>
        <v>32.76730785290761</v>
      </c>
      <c r="L1081" s="177"/>
      <c r="M1081" s="85"/>
      <c r="N1081" s="85"/>
      <c r="O1081" s="189"/>
      <c r="P1081" s="177"/>
      <c r="Q1081" s="85">
        <f t="shared" si="91"/>
        <v>71846</v>
      </c>
      <c r="R1081" s="85">
        <f t="shared" si="92"/>
        <v>23542</v>
      </c>
      <c r="S1081" s="188">
        <f t="shared" si="93"/>
        <v>32.76730785290761</v>
      </c>
    </row>
    <row r="1082" spans="2:19" ht="12.75">
      <c r="B1082" s="94">
        <f t="shared" si="94"/>
        <v>536</v>
      </c>
      <c r="C1082" s="3"/>
      <c r="D1082" s="3"/>
      <c r="E1082" s="3"/>
      <c r="F1082" s="92" t="s">
        <v>164</v>
      </c>
      <c r="G1082" s="93">
        <v>610</v>
      </c>
      <c r="H1082" s="3" t="s">
        <v>134</v>
      </c>
      <c r="I1082" s="70">
        <v>26883</v>
      </c>
      <c r="J1082" s="70">
        <v>12120</v>
      </c>
      <c r="K1082" s="190">
        <f t="shared" si="90"/>
        <v>45.084253989510096</v>
      </c>
      <c r="L1082" s="177"/>
      <c r="M1082" s="70"/>
      <c r="N1082" s="70"/>
      <c r="O1082" s="189"/>
      <c r="P1082" s="177"/>
      <c r="Q1082" s="70">
        <f t="shared" si="91"/>
        <v>26883</v>
      </c>
      <c r="R1082" s="70">
        <f t="shared" si="92"/>
        <v>12120</v>
      </c>
      <c r="S1082" s="188">
        <f t="shared" si="93"/>
        <v>45.084253989510096</v>
      </c>
    </row>
    <row r="1083" spans="2:19" ht="12.75">
      <c r="B1083" s="94">
        <f t="shared" si="94"/>
        <v>537</v>
      </c>
      <c r="C1083" s="3"/>
      <c r="D1083" s="3"/>
      <c r="E1083" s="3"/>
      <c r="F1083" s="92" t="s">
        <v>164</v>
      </c>
      <c r="G1083" s="93">
        <v>620</v>
      </c>
      <c r="H1083" s="3" t="s">
        <v>128</v>
      </c>
      <c r="I1083" s="70">
        <v>9933</v>
      </c>
      <c r="J1083" s="70">
        <v>4445</v>
      </c>
      <c r="K1083" s="190">
        <f t="shared" si="90"/>
        <v>44.74982381959126</v>
      </c>
      <c r="L1083" s="177"/>
      <c r="M1083" s="70"/>
      <c r="N1083" s="70"/>
      <c r="O1083" s="189"/>
      <c r="P1083" s="177"/>
      <c r="Q1083" s="70">
        <f t="shared" si="91"/>
        <v>9933</v>
      </c>
      <c r="R1083" s="70">
        <f t="shared" si="92"/>
        <v>4445</v>
      </c>
      <c r="S1083" s="188">
        <f t="shared" si="93"/>
        <v>44.74982381959126</v>
      </c>
    </row>
    <row r="1084" spans="2:19" ht="12.75">
      <c r="B1084" s="94">
        <f t="shared" si="94"/>
        <v>538</v>
      </c>
      <c r="C1084" s="3"/>
      <c r="D1084" s="3"/>
      <c r="E1084" s="3"/>
      <c r="F1084" s="92" t="s">
        <v>164</v>
      </c>
      <c r="G1084" s="93">
        <v>630</v>
      </c>
      <c r="H1084" s="3" t="s">
        <v>125</v>
      </c>
      <c r="I1084" s="70">
        <f>SUM(I1085:I1087)</f>
        <v>35030</v>
      </c>
      <c r="J1084" s="70">
        <f>SUM(J1085:J1087)</f>
        <v>6977</v>
      </c>
      <c r="K1084" s="190">
        <f t="shared" si="90"/>
        <v>19.91721381672852</v>
      </c>
      <c r="L1084" s="177"/>
      <c r="M1084" s="70"/>
      <c r="N1084" s="70"/>
      <c r="O1084" s="189"/>
      <c r="P1084" s="177"/>
      <c r="Q1084" s="70">
        <f t="shared" si="91"/>
        <v>35030</v>
      </c>
      <c r="R1084" s="70">
        <f t="shared" si="92"/>
        <v>6977</v>
      </c>
      <c r="S1084" s="188">
        <f t="shared" si="93"/>
        <v>19.91721381672852</v>
      </c>
    </row>
    <row r="1085" spans="2:19" ht="12.75">
      <c r="B1085" s="94">
        <f t="shared" si="94"/>
        <v>539</v>
      </c>
      <c r="C1085" s="4"/>
      <c r="D1085" s="4"/>
      <c r="E1085" s="4"/>
      <c r="F1085" s="32" t="s">
        <v>164</v>
      </c>
      <c r="G1085" s="41">
        <v>633</v>
      </c>
      <c r="H1085" s="4" t="s">
        <v>129</v>
      </c>
      <c r="I1085" s="71">
        <v>32775</v>
      </c>
      <c r="J1085" s="71">
        <v>6549</v>
      </c>
      <c r="K1085" s="190">
        <f t="shared" si="90"/>
        <v>19.981693363844393</v>
      </c>
      <c r="L1085" s="178"/>
      <c r="M1085" s="71"/>
      <c r="N1085" s="71"/>
      <c r="O1085" s="189"/>
      <c r="P1085" s="178"/>
      <c r="Q1085" s="71">
        <f t="shared" si="91"/>
        <v>32775</v>
      </c>
      <c r="R1085" s="71">
        <f t="shared" si="92"/>
        <v>6549</v>
      </c>
      <c r="S1085" s="188">
        <f t="shared" si="93"/>
        <v>19.981693363844393</v>
      </c>
    </row>
    <row r="1086" spans="2:19" ht="12.75">
      <c r="B1086" s="94">
        <f t="shared" si="94"/>
        <v>540</v>
      </c>
      <c r="C1086" s="4"/>
      <c r="D1086" s="4"/>
      <c r="E1086" s="4"/>
      <c r="F1086" s="32" t="s">
        <v>164</v>
      </c>
      <c r="G1086" s="41">
        <v>635</v>
      </c>
      <c r="H1086" s="4" t="s">
        <v>136</v>
      </c>
      <c r="I1086" s="71">
        <v>1150</v>
      </c>
      <c r="J1086" s="71">
        <v>101</v>
      </c>
      <c r="K1086" s="190">
        <f t="shared" si="90"/>
        <v>8.782608695652174</v>
      </c>
      <c r="L1086" s="178"/>
      <c r="M1086" s="71"/>
      <c r="N1086" s="71"/>
      <c r="O1086" s="189"/>
      <c r="P1086" s="178"/>
      <c r="Q1086" s="71">
        <f t="shared" si="91"/>
        <v>1150</v>
      </c>
      <c r="R1086" s="71">
        <f t="shared" si="92"/>
        <v>101</v>
      </c>
      <c r="S1086" s="188">
        <f t="shared" si="93"/>
        <v>8.782608695652174</v>
      </c>
    </row>
    <row r="1087" spans="2:19" ht="12.75">
      <c r="B1087" s="94">
        <f t="shared" si="94"/>
        <v>541</v>
      </c>
      <c r="C1087" s="4"/>
      <c r="D1087" s="4"/>
      <c r="E1087" s="4"/>
      <c r="F1087" s="32" t="s">
        <v>164</v>
      </c>
      <c r="G1087" s="41">
        <v>637</v>
      </c>
      <c r="H1087" s="4" t="s">
        <v>126</v>
      </c>
      <c r="I1087" s="71">
        <v>1105</v>
      </c>
      <c r="J1087" s="71">
        <v>327</v>
      </c>
      <c r="K1087" s="190">
        <f t="shared" si="90"/>
        <v>29.592760180995477</v>
      </c>
      <c r="L1087" s="178"/>
      <c r="M1087" s="71"/>
      <c r="N1087" s="71"/>
      <c r="O1087" s="189"/>
      <c r="P1087" s="178"/>
      <c r="Q1087" s="71">
        <f t="shared" si="91"/>
        <v>1105</v>
      </c>
      <c r="R1087" s="71">
        <f t="shared" si="92"/>
        <v>327</v>
      </c>
      <c r="S1087" s="188">
        <f t="shared" si="93"/>
        <v>29.592760180995477</v>
      </c>
    </row>
    <row r="1088" spans="2:19" ht="12.75">
      <c r="B1088" s="94">
        <f t="shared" si="94"/>
        <v>542</v>
      </c>
      <c r="C1088" s="8"/>
      <c r="D1088" s="8"/>
      <c r="E1088" s="8" t="s">
        <v>83</v>
      </c>
      <c r="F1088" s="37"/>
      <c r="G1088" s="45"/>
      <c r="H1088" s="8" t="s">
        <v>84</v>
      </c>
      <c r="I1088" s="85">
        <f>I1089+I1090+I1091+I1095</f>
        <v>116212</v>
      </c>
      <c r="J1088" s="85">
        <f>J1089+J1090+J1091+J1095</f>
        <v>39049</v>
      </c>
      <c r="K1088" s="190">
        <f t="shared" si="90"/>
        <v>33.60152135751902</v>
      </c>
      <c r="L1088" s="177"/>
      <c r="M1088" s="85"/>
      <c r="N1088" s="85"/>
      <c r="O1088" s="189"/>
      <c r="P1088" s="177"/>
      <c r="Q1088" s="85">
        <f t="shared" si="91"/>
        <v>116212</v>
      </c>
      <c r="R1088" s="85">
        <f t="shared" si="92"/>
        <v>39049</v>
      </c>
      <c r="S1088" s="188">
        <f t="shared" si="93"/>
        <v>33.60152135751902</v>
      </c>
    </row>
    <row r="1089" spans="2:19" ht="12.75">
      <c r="B1089" s="94">
        <f t="shared" si="94"/>
        <v>543</v>
      </c>
      <c r="C1089" s="3"/>
      <c r="D1089" s="3"/>
      <c r="E1089" s="3"/>
      <c r="F1089" s="92" t="s">
        <v>164</v>
      </c>
      <c r="G1089" s="93">
        <v>610</v>
      </c>
      <c r="H1089" s="3" t="s">
        <v>134</v>
      </c>
      <c r="I1089" s="70">
        <v>43031</v>
      </c>
      <c r="J1089" s="70">
        <v>20102</v>
      </c>
      <c r="K1089" s="190">
        <f t="shared" si="90"/>
        <v>46.71515883897655</v>
      </c>
      <c r="L1089" s="177"/>
      <c r="M1089" s="70"/>
      <c r="N1089" s="70"/>
      <c r="O1089" s="189"/>
      <c r="P1089" s="177"/>
      <c r="Q1089" s="70">
        <f t="shared" si="91"/>
        <v>43031</v>
      </c>
      <c r="R1089" s="70">
        <f t="shared" si="92"/>
        <v>20102</v>
      </c>
      <c r="S1089" s="188">
        <f t="shared" si="93"/>
        <v>46.71515883897655</v>
      </c>
    </row>
    <row r="1090" spans="2:19" ht="12.75">
      <c r="B1090" s="94">
        <f t="shared" si="94"/>
        <v>544</v>
      </c>
      <c r="C1090" s="3"/>
      <c r="D1090" s="3"/>
      <c r="E1090" s="3"/>
      <c r="F1090" s="92" t="s">
        <v>164</v>
      </c>
      <c r="G1090" s="93">
        <v>620</v>
      </c>
      <c r="H1090" s="3" t="s">
        <v>128</v>
      </c>
      <c r="I1090" s="70">
        <v>15900</v>
      </c>
      <c r="J1090" s="70">
        <v>6930</v>
      </c>
      <c r="K1090" s="190">
        <f t="shared" si="90"/>
        <v>43.58490566037736</v>
      </c>
      <c r="L1090" s="177"/>
      <c r="M1090" s="70"/>
      <c r="N1090" s="70"/>
      <c r="O1090" s="189"/>
      <c r="P1090" s="177"/>
      <c r="Q1090" s="70">
        <f t="shared" si="91"/>
        <v>15900</v>
      </c>
      <c r="R1090" s="70">
        <f t="shared" si="92"/>
        <v>6930</v>
      </c>
      <c r="S1090" s="188">
        <f t="shared" si="93"/>
        <v>43.58490566037736</v>
      </c>
    </row>
    <row r="1091" spans="2:19" ht="12.75">
      <c r="B1091" s="94">
        <f t="shared" si="94"/>
        <v>545</v>
      </c>
      <c r="C1091" s="3"/>
      <c r="D1091" s="3"/>
      <c r="E1091" s="3"/>
      <c r="F1091" s="92" t="s">
        <v>164</v>
      </c>
      <c r="G1091" s="93">
        <v>630</v>
      </c>
      <c r="H1091" s="3" t="s">
        <v>125</v>
      </c>
      <c r="I1091" s="70">
        <f>SUM(I1092:I1094)</f>
        <v>55350</v>
      </c>
      <c r="J1091" s="70">
        <f>SUM(J1092:J1094)</f>
        <v>11745</v>
      </c>
      <c r="K1091" s="190">
        <f t="shared" si="90"/>
        <v>21.21951219512195</v>
      </c>
      <c r="L1091" s="177"/>
      <c r="M1091" s="70"/>
      <c r="N1091" s="70"/>
      <c r="O1091" s="189"/>
      <c r="P1091" s="177"/>
      <c r="Q1091" s="70">
        <f t="shared" si="91"/>
        <v>55350</v>
      </c>
      <c r="R1091" s="70">
        <f t="shared" si="92"/>
        <v>11745</v>
      </c>
      <c r="S1091" s="188">
        <f t="shared" si="93"/>
        <v>21.21951219512195</v>
      </c>
    </row>
    <row r="1092" spans="2:19" ht="12.75">
      <c r="B1092" s="94">
        <f t="shared" si="94"/>
        <v>546</v>
      </c>
      <c r="C1092" s="4"/>
      <c r="D1092" s="4"/>
      <c r="E1092" s="4"/>
      <c r="F1092" s="32" t="s">
        <v>164</v>
      </c>
      <c r="G1092" s="41">
        <v>633</v>
      </c>
      <c r="H1092" s="4" t="s">
        <v>129</v>
      </c>
      <c r="I1092" s="71">
        <v>49535</v>
      </c>
      <c r="J1092" s="71">
        <v>11367</v>
      </c>
      <c r="K1092" s="190">
        <f t="shared" si="90"/>
        <v>22.947410921570608</v>
      </c>
      <c r="L1092" s="178"/>
      <c r="M1092" s="71"/>
      <c r="N1092" s="71"/>
      <c r="O1092" s="189"/>
      <c r="P1092" s="178"/>
      <c r="Q1092" s="71">
        <f t="shared" si="91"/>
        <v>49535</v>
      </c>
      <c r="R1092" s="71">
        <f t="shared" si="92"/>
        <v>11367</v>
      </c>
      <c r="S1092" s="188">
        <f t="shared" si="93"/>
        <v>22.947410921570608</v>
      </c>
    </row>
    <row r="1093" spans="2:19" ht="12.75">
      <c r="B1093" s="94">
        <f t="shared" si="94"/>
        <v>547</v>
      </c>
      <c r="C1093" s="4"/>
      <c r="D1093" s="4"/>
      <c r="E1093" s="4"/>
      <c r="F1093" s="32" t="s">
        <v>164</v>
      </c>
      <c r="G1093" s="41">
        <v>635</v>
      </c>
      <c r="H1093" s="4" t="s">
        <v>136</v>
      </c>
      <c r="I1093" s="71">
        <v>4300</v>
      </c>
      <c r="J1093" s="71">
        <v>0</v>
      </c>
      <c r="K1093" s="190">
        <f t="shared" si="90"/>
        <v>0</v>
      </c>
      <c r="L1093" s="178"/>
      <c r="M1093" s="71"/>
      <c r="N1093" s="71"/>
      <c r="O1093" s="189"/>
      <c r="P1093" s="178"/>
      <c r="Q1093" s="71">
        <f t="shared" si="91"/>
        <v>4300</v>
      </c>
      <c r="R1093" s="71">
        <f t="shared" si="92"/>
        <v>0</v>
      </c>
      <c r="S1093" s="188">
        <f t="shared" si="93"/>
        <v>0</v>
      </c>
    </row>
    <row r="1094" spans="2:19" ht="12.75">
      <c r="B1094" s="94">
        <f t="shared" si="94"/>
        <v>548</v>
      </c>
      <c r="C1094" s="4"/>
      <c r="D1094" s="4"/>
      <c r="E1094" s="4"/>
      <c r="F1094" s="32" t="s">
        <v>164</v>
      </c>
      <c r="G1094" s="41">
        <v>637</v>
      </c>
      <c r="H1094" s="4" t="s">
        <v>126</v>
      </c>
      <c r="I1094" s="71">
        <v>1515</v>
      </c>
      <c r="J1094" s="71">
        <v>378</v>
      </c>
      <c r="K1094" s="190">
        <f t="shared" si="90"/>
        <v>24.95049504950495</v>
      </c>
      <c r="L1094" s="178"/>
      <c r="M1094" s="71"/>
      <c r="N1094" s="71"/>
      <c r="O1094" s="189"/>
      <c r="P1094" s="178"/>
      <c r="Q1094" s="71">
        <f t="shared" si="91"/>
        <v>1515</v>
      </c>
      <c r="R1094" s="71">
        <f t="shared" si="92"/>
        <v>378</v>
      </c>
      <c r="S1094" s="188">
        <f t="shared" si="93"/>
        <v>24.95049504950495</v>
      </c>
    </row>
    <row r="1095" spans="2:19" ht="12.75">
      <c r="B1095" s="94">
        <f t="shared" si="94"/>
        <v>549</v>
      </c>
      <c r="C1095" s="3"/>
      <c r="D1095" s="3"/>
      <c r="E1095" s="3"/>
      <c r="F1095" s="92" t="s">
        <v>164</v>
      </c>
      <c r="G1095" s="93">
        <v>640</v>
      </c>
      <c r="H1095" s="3" t="s">
        <v>132</v>
      </c>
      <c r="I1095" s="70">
        <v>1931</v>
      </c>
      <c r="J1095" s="70">
        <v>272</v>
      </c>
      <c r="K1095" s="190">
        <f t="shared" si="90"/>
        <v>14.085965820818227</v>
      </c>
      <c r="L1095" s="177"/>
      <c r="M1095" s="70"/>
      <c r="N1095" s="70"/>
      <c r="O1095" s="189"/>
      <c r="P1095" s="177"/>
      <c r="Q1095" s="70">
        <f t="shared" si="91"/>
        <v>1931</v>
      </c>
      <c r="R1095" s="70">
        <f t="shared" si="92"/>
        <v>272</v>
      </c>
      <c r="S1095" s="188">
        <f t="shared" si="93"/>
        <v>14.085965820818227</v>
      </c>
    </row>
    <row r="1096" spans="2:19" ht="12.75">
      <c r="B1096" s="94">
        <f t="shared" si="94"/>
        <v>550</v>
      </c>
      <c r="C1096" s="8"/>
      <c r="D1096" s="8"/>
      <c r="E1096" s="8" t="s">
        <v>80</v>
      </c>
      <c r="F1096" s="37"/>
      <c r="G1096" s="45"/>
      <c r="H1096" s="8" t="s">
        <v>81</v>
      </c>
      <c r="I1096" s="85">
        <f>I1097+I1098+I1099</f>
        <v>117851</v>
      </c>
      <c r="J1096" s="85">
        <f>J1097+J1098+J1099</f>
        <v>30917</v>
      </c>
      <c r="K1096" s="190">
        <f t="shared" si="90"/>
        <v>26.233973407098794</v>
      </c>
      <c r="L1096" s="177"/>
      <c r="M1096" s="85"/>
      <c r="N1096" s="85"/>
      <c r="O1096" s="189"/>
      <c r="P1096" s="177"/>
      <c r="Q1096" s="85">
        <f t="shared" si="91"/>
        <v>117851</v>
      </c>
      <c r="R1096" s="85">
        <f t="shared" si="92"/>
        <v>30917</v>
      </c>
      <c r="S1096" s="188">
        <f t="shared" si="93"/>
        <v>26.233973407098794</v>
      </c>
    </row>
    <row r="1097" spans="2:19" ht="12.75">
      <c r="B1097" s="94">
        <f t="shared" si="94"/>
        <v>551</v>
      </c>
      <c r="C1097" s="3"/>
      <c r="D1097" s="3"/>
      <c r="E1097" s="3"/>
      <c r="F1097" s="92" t="s">
        <v>164</v>
      </c>
      <c r="G1097" s="93">
        <v>610</v>
      </c>
      <c r="H1097" s="3" t="s">
        <v>134</v>
      </c>
      <c r="I1097" s="70">
        <v>44409</v>
      </c>
      <c r="J1097" s="70">
        <v>16580</v>
      </c>
      <c r="K1097" s="190">
        <f t="shared" si="90"/>
        <v>37.33477448264991</v>
      </c>
      <c r="L1097" s="177"/>
      <c r="M1097" s="70"/>
      <c r="N1097" s="70"/>
      <c r="O1097" s="189"/>
      <c r="P1097" s="177"/>
      <c r="Q1097" s="70">
        <f t="shared" si="91"/>
        <v>44409</v>
      </c>
      <c r="R1097" s="70">
        <f t="shared" si="92"/>
        <v>16580</v>
      </c>
      <c r="S1097" s="188">
        <f t="shared" si="93"/>
        <v>37.33477448264991</v>
      </c>
    </row>
    <row r="1098" spans="2:19" ht="12.75">
      <c r="B1098" s="94">
        <f t="shared" si="94"/>
        <v>552</v>
      </c>
      <c r="C1098" s="3"/>
      <c r="D1098" s="3"/>
      <c r="E1098" s="3"/>
      <c r="F1098" s="92" t="s">
        <v>164</v>
      </c>
      <c r="G1098" s="93">
        <v>620</v>
      </c>
      <c r="H1098" s="3" t="s">
        <v>128</v>
      </c>
      <c r="I1098" s="70">
        <v>16409</v>
      </c>
      <c r="J1098" s="70">
        <v>5690</v>
      </c>
      <c r="K1098" s="190">
        <f t="shared" si="90"/>
        <v>34.67609238832348</v>
      </c>
      <c r="L1098" s="177"/>
      <c r="M1098" s="70"/>
      <c r="N1098" s="70"/>
      <c r="O1098" s="189"/>
      <c r="P1098" s="177"/>
      <c r="Q1098" s="70">
        <f t="shared" si="91"/>
        <v>16409</v>
      </c>
      <c r="R1098" s="70">
        <f t="shared" si="92"/>
        <v>5690</v>
      </c>
      <c r="S1098" s="188">
        <f t="shared" si="93"/>
        <v>34.67609238832348</v>
      </c>
    </row>
    <row r="1099" spans="2:19" ht="12.75">
      <c r="B1099" s="94">
        <f t="shared" si="94"/>
        <v>553</v>
      </c>
      <c r="C1099" s="3"/>
      <c r="D1099" s="3"/>
      <c r="E1099" s="3"/>
      <c r="F1099" s="92" t="s">
        <v>164</v>
      </c>
      <c r="G1099" s="93">
        <v>630</v>
      </c>
      <c r="H1099" s="3" t="s">
        <v>125</v>
      </c>
      <c r="I1099" s="70">
        <f>SUM(I1100:I1102)</f>
        <v>57033</v>
      </c>
      <c r="J1099" s="70">
        <f>SUM(J1100:J1102)</f>
        <v>8647</v>
      </c>
      <c r="K1099" s="190">
        <f t="shared" si="90"/>
        <v>15.161397787245981</v>
      </c>
      <c r="L1099" s="177"/>
      <c r="M1099" s="70"/>
      <c r="N1099" s="70"/>
      <c r="O1099" s="189"/>
      <c r="P1099" s="177"/>
      <c r="Q1099" s="70">
        <f t="shared" si="91"/>
        <v>57033</v>
      </c>
      <c r="R1099" s="70">
        <f t="shared" si="92"/>
        <v>8647</v>
      </c>
      <c r="S1099" s="188">
        <f t="shared" si="93"/>
        <v>15.161397787245981</v>
      </c>
    </row>
    <row r="1100" spans="2:19" ht="12.75">
      <c r="B1100" s="94">
        <f t="shared" si="94"/>
        <v>554</v>
      </c>
      <c r="C1100" s="4"/>
      <c r="D1100" s="4"/>
      <c r="E1100" s="4"/>
      <c r="F1100" s="32" t="s">
        <v>164</v>
      </c>
      <c r="G1100" s="41">
        <v>633</v>
      </c>
      <c r="H1100" s="4" t="s">
        <v>129</v>
      </c>
      <c r="I1100" s="71">
        <v>54320</v>
      </c>
      <c r="J1100" s="71">
        <v>8157</v>
      </c>
      <c r="K1100" s="190">
        <f t="shared" si="90"/>
        <v>15.016568483063327</v>
      </c>
      <c r="L1100" s="178"/>
      <c r="M1100" s="71"/>
      <c r="N1100" s="71"/>
      <c r="O1100" s="189"/>
      <c r="P1100" s="178"/>
      <c r="Q1100" s="71">
        <f t="shared" si="91"/>
        <v>54320</v>
      </c>
      <c r="R1100" s="71">
        <f t="shared" si="92"/>
        <v>8157</v>
      </c>
      <c r="S1100" s="188">
        <f t="shared" si="93"/>
        <v>15.016568483063327</v>
      </c>
    </row>
    <row r="1101" spans="2:19" ht="12.75">
      <c r="B1101" s="94">
        <f t="shared" si="94"/>
        <v>555</v>
      </c>
      <c r="C1101" s="4"/>
      <c r="D1101" s="4"/>
      <c r="E1101" s="4"/>
      <c r="F1101" s="32" t="s">
        <v>164</v>
      </c>
      <c r="G1101" s="41">
        <v>635</v>
      </c>
      <c r="H1101" s="4" t="s">
        <v>136</v>
      </c>
      <c r="I1101" s="71">
        <v>1150</v>
      </c>
      <c r="J1101" s="71">
        <v>36</v>
      </c>
      <c r="K1101" s="190">
        <f t="shared" si="90"/>
        <v>3.130434782608696</v>
      </c>
      <c r="L1101" s="178"/>
      <c r="M1101" s="71"/>
      <c r="N1101" s="71"/>
      <c r="O1101" s="189"/>
      <c r="P1101" s="178"/>
      <c r="Q1101" s="71">
        <f t="shared" si="91"/>
        <v>1150</v>
      </c>
      <c r="R1101" s="71">
        <f t="shared" si="92"/>
        <v>36</v>
      </c>
      <c r="S1101" s="188">
        <f t="shared" si="93"/>
        <v>3.130434782608696</v>
      </c>
    </row>
    <row r="1102" spans="2:19" ht="12.75">
      <c r="B1102" s="94">
        <f t="shared" si="94"/>
        <v>556</v>
      </c>
      <c r="C1102" s="4"/>
      <c r="D1102" s="4"/>
      <c r="E1102" s="4"/>
      <c r="F1102" s="32" t="s">
        <v>164</v>
      </c>
      <c r="G1102" s="41">
        <v>637</v>
      </c>
      <c r="H1102" s="4" t="s">
        <v>126</v>
      </c>
      <c r="I1102" s="71">
        <v>1563</v>
      </c>
      <c r="J1102" s="71">
        <v>454</v>
      </c>
      <c r="K1102" s="190">
        <f t="shared" si="90"/>
        <v>29.0467050543826</v>
      </c>
      <c r="L1102" s="178"/>
      <c r="M1102" s="71"/>
      <c r="N1102" s="71"/>
      <c r="O1102" s="189"/>
      <c r="P1102" s="178"/>
      <c r="Q1102" s="71">
        <f t="shared" si="91"/>
        <v>1563</v>
      </c>
      <c r="R1102" s="71">
        <f t="shared" si="92"/>
        <v>454</v>
      </c>
      <c r="S1102" s="188">
        <f t="shared" si="93"/>
        <v>29.0467050543826</v>
      </c>
    </row>
    <row r="1103" spans="2:19" ht="12.75">
      <c r="B1103" s="94">
        <f t="shared" si="94"/>
        <v>557</v>
      </c>
      <c r="C1103" s="8"/>
      <c r="D1103" s="8"/>
      <c r="E1103" s="8" t="s">
        <v>102</v>
      </c>
      <c r="F1103" s="37"/>
      <c r="G1103" s="45"/>
      <c r="H1103" s="8" t="s">
        <v>103</v>
      </c>
      <c r="I1103" s="85">
        <f>I1104+I1105+I1106</f>
        <v>68642</v>
      </c>
      <c r="J1103" s="85">
        <f>J1104+J1105+J1106</f>
        <v>21177</v>
      </c>
      <c r="K1103" s="190">
        <f t="shared" si="90"/>
        <v>30.85137379446986</v>
      </c>
      <c r="L1103" s="177"/>
      <c r="M1103" s="85"/>
      <c r="N1103" s="85"/>
      <c r="O1103" s="189"/>
      <c r="P1103" s="177"/>
      <c r="Q1103" s="85">
        <f t="shared" si="91"/>
        <v>68642</v>
      </c>
      <c r="R1103" s="85">
        <f t="shared" si="92"/>
        <v>21177</v>
      </c>
      <c r="S1103" s="188">
        <f t="shared" si="93"/>
        <v>30.85137379446986</v>
      </c>
    </row>
    <row r="1104" spans="2:19" ht="12.75">
      <c r="B1104" s="94">
        <f t="shared" si="94"/>
        <v>558</v>
      </c>
      <c r="C1104" s="3"/>
      <c r="D1104" s="3"/>
      <c r="E1104" s="3"/>
      <c r="F1104" s="92" t="s">
        <v>164</v>
      </c>
      <c r="G1104" s="93">
        <v>610</v>
      </c>
      <c r="H1104" s="3" t="s">
        <v>134</v>
      </c>
      <c r="I1104" s="70">
        <v>27087</v>
      </c>
      <c r="J1104" s="70">
        <v>10216</v>
      </c>
      <c r="K1104" s="190">
        <f t="shared" si="90"/>
        <v>37.71550928489681</v>
      </c>
      <c r="L1104" s="177"/>
      <c r="M1104" s="70"/>
      <c r="N1104" s="70"/>
      <c r="O1104" s="189"/>
      <c r="P1104" s="177"/>
      <c r="Q1104" s="70">
        <f t="shared" si="91"/>
        <v>27087</v>
      </c>
      <c r="R1104" s="70">
        <f t="shared" si="92"/>
        <v>10216</v>
      </c>
      <c r="S1104" s="188">
        <f t="shared" si="93"/>
        <v>37.71550928489681</v>
      </c>
    </row>
    <row r="1105" spans="2:19" ht="12.75">
      <c r="B1105" s="94">
        <f t="shared" si="94"/>
        <v>559</v>
      </c>
      <c r="C1105" s="3"/>
      <c r="D1105" s="3"/>
      <c r="E1105" s="3"/>
      <c r="F1105" s="92" t="s">
        <v>164</v>
      </c>
      <c r="G1105" s="93">
        <v>620</v>
      </c>
      <c r="H1105" s="3" t="s">
        <v>128</v>
      </c>
      <c r="I1105" s="70">
        <v>10009</v>
      </c>
      <c r="J1105" s="70">
        <v>4713</v>
      </c>
      <c r="K1105" s="190">
        <f t="shared" si="90"/>
        <v>47.08762114097313</v>
      </c>
      <c r="L1105" s="177"/>
      <c r="M1105" s="70"/>
      <c r="N1105" s="70"/>
      <c r="O1105" s="189"/>
      <c r="P1105" s="177"/>
      <c r="Q1105" s="70">
        <f t="shared" si="91"/>
        <v>10009</v>
      </c>
      <c r="R1105" s="70">
        <f t="shared" si="92"/>
        <v>4713</v>
      </c>
      <c r="S1105" s="188">
        <f t="shared" si="93"/>
        <v>47.08762114097313</v>
      </c>
    </row>
    <row r="1106" spans="2:19" ht="12.75">
      <c r="B1106" s="94">
        <f t="shared" si="94"/>
        <v>560</v>
      </c>
      <c r="C1106" s="3"/>
      <c r="D1106" s="3"/>
      <c r="E1106" s="3"/>
      <c r="F1106" s="92" t="s">
        <v>164</v>
      </c>
      <c r="G1106" s="93">
        <v>630</v>
      </c>
      <c r="H1106" s="3" t="s">
        <v>125</v>
      </c>
      <c r="I1106" s="70">
        <f>SUM(I1107:I1109)</f>
        <v>31546</v>
      </c>
      <c r="J1106" s="70">
        <f>SUM(J1107:J1109)</f>
        <v>6248</v>
      </c>
      <c r="K1106" s="190">
        <f t="shared" si="90"/>
        <v>19.805997590819754</v>
      </c>
      <c r="L1106" s="177"/>
      <c r="M1106" s="70"/>
      <c r="N1106" s="70"/>
      <c r="O1106" s="189"/>
      <c r="P1106" s="177"/>
      <c r="Q1106" s="70">
        <f t="shared" si="91"/>
        <v>31546</v>
      </c>
      <c r="R1106" s="70">
        <f t="shared" si="92"/>
        <v>6248</v>
      </c>
      <c r="S1106" s="188">
        <f t="shared" si="93"/>
        <v>19.805997590819754</v>
      </c>
    </row>
    <row r="1107" spans="2:19" ht="12.75">
      <c r="B1107" s="94">
        <f t="shared" si="94"/>
        <v>561</v>
      </c>
      <c r="C1107" s="4"/>
      <c r="D1107" s="4"/>
      <c r="E1107" s="4"/>
      <c r="F1107" s="32" t="s">
        <v>164</v>
      </c>
      <c r="G1107" s="41">
        <v>633</v>
      </c>
      <c r="H1107" s="4" t="s">
        <v>129</v>
      </c>
      <c r="I1107" s="71">
        <v>29010</v>
      </c>
      <c r="J1107" s="71">
        <v>5702</v>
      </c>
      <c r="K1107" s="190">
        <f t="shared" si="90"/>
        <v>19.655291278869356</v>
      </c>
      <c r="L1107" s="178"/>
      <c r="M1107" s="71"/>
      <c r="N1107" s="71"/>
      <c r="O1107" s="189"/>
      <c r="P1107" s="178"/>
      <c r="Q1107" s="71">
        <f t="shared" si="91"/>
        <v>29010</v>
      </c>
      <c r="R1107" s="71">
        <f t="shared" si="92"/>
        <v>5702</v>
      </c>
      <c r="S1107" s="188">
        <f t="shared" si="93"/>
        <v>19.655291278869356</v>
      </c>
    </row>
    <row r="1108" spans="2:19" ht="12.75">
      <c r="B1108" s="94">
        <f t="shared" si="94"/>
        <v>562</v>
      </c>
      <c r="C1108" s="4"/>
      <c r="D1108" s="4"/>
      <c r="E1108" s="4"/>
      <c r="F1108" s="32" t="s">
        <v>164</v>
      </c>
      <c r="G1108" s="41">
        <v>635</v>
      </c>
      <c r="H1108" s="4" t="s">
        <v>136</v>
      </c>
      <c r="I1108" s="71">
        <v>1100</v>
      </c>
      <c r="J1108" s="71">
        <v>190</v>
      </c>
      <c r="K1108" s="190">
        <f t="shared" si="90"/>
        <v>17.272727272727273</v>
      </c>
      <c r="L1108" s="178"/>
      <c r="M1108" s="71"/>
      <c r="N1108" s="71"/>
      <c r="O1108" s="189"/>
      <c r="P1108" s="178"/>
      <c r="Q1108" s="71">
        <f t="shared" si="91"/>
        <v>1100</v>
      </c>
      <c r="R1108" s="71">
        <f t="shared" si="92"/>
        <v>190</v>
      </c>
      <c r="S1108" s="188">
        <f t="shared" si="93"/>
        <v>17.272727272727273</v>
      </c>
    </row>
    <row r="1109" spans="2:19" ht="12.75">
      <c r="B1109" s="94">
        <f t="shared" si="94"/>
        <v>563</v>
      </c>
      <c r="C1109" s="4"/>
      <c r="D1109" s="4"/>
      <c r="E1109" s="4"/>
      <c r="F1109" s="32" t="s">
        <v>164</v>
      </c>
      <c r="G1109" s="41">
        <v>637</v>
      </c>
      <c r="H1109" s="4" t="s">
        <v>126</v>
      </c>
      <c r="I1109" s="71">
        <v>1436</v>
      </c>
      <c r="J1109" s="71">
        <v>356</v>
      </c>
      <c r="K1109" s="190">
        <f t="shared" si="90"/>
        <v>24.79108635097493</v>
      </c>
      <c r="L1109" s="178"/>
      <c r="M1109" s="71"/>
      <c r="N1109" s="71"/>
      <c r="O1109" s="189"/>
      <c r="P1109" s="178"/>
      <c r="Q1109" s="71">
        <f t="shared" si="91"/>
        <v>1436</v>
      </c>
      <c r="R1109" s="71">
        <f t="shared" si="92"/>
        <v>356</v>
      </c>
      <c r="S1109" s="188">
        <f t="shared" si="93"/>
        <v>24.79108635097493</v>
      </c>
    </row>
    <row r="1110" spans="2:19" ht="12.75">
      <c r="B1110" s="94">
        <f t="shared" si="94"/>
        <v>564</v>
      </c>
      <c r="C1110" s="8"/>
      <c r="D1110" s="8"/>
      <c r="E1110" s="8" t="s">
        <v>101</v>
      </c>
      <c r="F1110" s="37"/>
      <c r="G1110" s="45"/>
      <c r="H1110" s="8" t="s">
        <v>57</v>
      </c>
      <c r="I1110" s="85">
        <f>I1111+I1112+I1113</f>
        <v>89646</v>
      </c>
      <c r="J1110" s="85">
        <f>J1111+J1112+J1113</f>
        <v>23159</v>
      </c>
      <c r="K1110" s="190">
        <f t="shared" si="90"/>
        <v>25.8338353077661</v>
      </c>
      <c r="L1110" s="177"/>
      <c r="M1110" s="85"/>
      <c r="N1110" s="85"/>
      <c r="O1110" s="189"/>
      <c r="P1110" s="177"/>
      <c r="Q1110" s="85">
        <f t="shared" si="91"/>
        <v>89646</v>
      </c>
      <c r="R1110" s="85">
        <f t="shared" si="92"/>
        <v>23159</v>
      </c>
      <c r="S1110" s="188">
        <f t="shared" si="93"/>
        <v>25.8338353077661</v>
      </c>
    </row>
    <row r="1111" spans="2:19" ht="12.75">
      <c r="B1111" s="94">
        <f t="shared" si="94"/>
        <v>565</v>
      </c>
      <c r="C1111" s="3"/>
      <c r="D1111" s="3"/>
      <c r="E1111" s="3"/>
      <c r="F1111" s="92" t="s">
        <v>164</v>
      </c>
      <c r="G1111" s="93">
        <v>610</v>
      </c>
      <c r="H1111" s="3" t="s">
        <v>134</v>
      </c>
      <c r="I1111" s="70">
        <v>30340</v>
      </c>
      <c r="J1111" s="70">
        <v>10948</v>
      </c>
      <c r="K1111" s="190">
        <f t="shared" si="90"/>
        <v>36.084377059986814</v>
      </c>
      <c r="L1111" s="177"/>
      <c r="M1111" s="70"/>
      <c r="N1111" s="70"/>
      <c r="O1111" s="189"/>
      <c r="P1111" s="177"/>
      <c r="Q1111" s="70">
        <f t="shared" si="91"/>
        <v>30340</v>
      </c>
      <c r="R1111" s="70">
        <f t="shared" si="92"/>
        <v>10948</v>
      </c>
      <c r="S1111" s="188">
        <f t="shared" si="93"/>
        <v>36.084377059986814</v>
      </c>
    </row>
    <row r="1112" spans="2:19" ht="12.75">
      <c r="B1112" s="94">
        <f t="shared" si="94"/>
        <v>566</v>
      </c>
      <c r="C1112" s="3"/>
      <c r="D1112" s="3"/>
      <c r="E1112" s="3"/>
      <c r="F1112" s="92" t="s">
        <v>164</v>
      </c>
      <c r="G1112" s="93">
        <v>620</v>
      </c>
      <c r="H1112" s="3" t="s">
        <v>128</v>
      </c>
      <c r="I1112" s="70">
        <v>11211</v>
      </c>
      <c r="J1112" s="70">
        <v>4015</v>
      </c>
      <c r="K1112" s="190">
        <f t="shared" si="90"/>
        <v>35.81304076353582</v>
      </c>
      <c r="L1112" s="177"/>
      <c r="M1112" s="70"/>
      <c r="N1112" s="70"/>
      <c r="O1112" s="189"/>
      <c r="P1112" s="177"/>
      <c r="Q1112" s="70">
        <f t="shared" si="91"/>
        <v>11211</v>
      </c>
      <c r="R1112" s="70">
        <f t="shared" si="92"/>
        <v>4015</v>
      </c>
      <c r="S1112" s="188">
        <f t="shared" si="93"/>
        <v>35.81304076353582</v>
      </c>
    </row>
    <row r="1113" spans="2:19" ht="12.75">
      <c r="B1113" s="94">
        <f t="shared" si="94"/>
        <v>567</v>
      </c>
      <c r="C1113" s="3"/>
      <c r="D1113" s="3"/>
      <c r="E1113" s="3"/>
      <c r="F1113" s="92" t="s">
        <v>164</v>
      </c>
      <c r="G1113" s="93">
        <v>630</v>
      </c>
      <c r="H1113" s="3" t="s">
        <v>125</v>
      </c>
      <c r="I1113" s="70">
        <f>SUM(I1114:I1116)</f>
        <v>48095</v>
      </c>
      <c r="J1113" s="70">
        <f>SUM(J1114:J1116)</f>
        <v>8196</v>
      </c>
      <c r="K1113" s="190">
        <f t="shared" si="90"/>
        <v>17.041272481546937</v>
      </c>
      <c r="L1113" s="177"/>
      <c r="M1113" s="70"/>
      <c r="N1113" s="70"/>
      <c r="O1113" s="189"/>
      <c r="P1113" s="177"/>
      <c r="Q1113" s="70">
        <f t="shared" si="91"/>
        <v>48095</v>
      </c>
      <c r="R1113" s="70">
        <f t="shared" si="92"/>
        <v>8196</v>
      </c>
      <c r="S1113" s="188">
        <f t="shared" si="93"/>
        <v>17.041272481546937</v>
      </c>
    </row>
    <row r="1114" spans="2:19" ht="12.75">
      <c r="B1114" s="94">
        <f t="shared" si="94"/>
        <v>568</v>
      </c>
      <c r="C1114" s="4"/>
      <c r="D1114" s="4"/>
      <c r="E1114" s="4"/>
      <c r="F1114" s="32" t="s">
        <v>164</v>
      </c>
      <c r="G1114" s="41">
        <v>633</v>
      </c>
      <c r="H1114" s="4" t="s">
        <v>129</v>
      </c>
      <c r="I1114" s="71">
        <v>45695</v>
      </c>
      <c r="J1114" s="71">
        <v>7868</v>
      </c>
      <c r="K1114" s="190">
        <f t="shared" si="90"/>
        <v>17.218514060619324</v>
      </c>
      <c r="L1114" s="178"/>
      <c r="M1114" s="71"/>
      <c r="N1114" s="71"/>
      <c r="O1114" s="189"/>
      <c r="P1114" s="178"/>
      <c r="Q1114" s="71">
        <f t="shared" si="91"/>
        <v>45695</v>
      </c>
      <c r="R1114" s="71">
        <f t="shared" si="92"/>
        <v>7868</v>
      </c>
      <c r="S1114" s="188">
        <f t="shared" si="93"/>
        <v>17.218514060619324</v>
      </c>
    </row>
    <row r="1115" spans="2:19" ht="12.75">
      <c r="B1115" s="94">
        <f t="shared" si="94"/>
        <v>569</v>
      </c>
      <c r="C1115" s="4"/>
      <c r="D1115" s="4"/>
      <c r="E1115" s="4"/>
      <c r="F1115" s="32" t="s">
        <v>164</v>
      </c>
      <c r="G1115" s="41">
        <v>635</v>
      </c>
      <c r="H1115" s="4" t="s">
        <v>136</v>
      </c>
      <c r="I1115" s="71">
        <v>1200</v>
      </c>
      <c r="J1115" s="71">
        <v>0</v>
      </c>
      <c r="K1115" s="190">
        <f t="shared" si="90"/>
        <v>0</v>
      </c>
      <c r="L1115" s="178"/>
      <c r="M1115" s="71"/>
      <c r="N1115" s="71"/>
      <c r="O1115" s="189"/>
      <c r="P1115" s="178"/>
      <c r="Q1115" s="71">
        <f t="shared" si="91"/>
        <v>1200</v>
      </c>
      <c r="R1115" s="71">
        <f t="shared" si="92"/>
        <v>0</v>
      </c>
      <c r="S1115" s="188">
        <f t="shared" si="93"/>
        <v>0</v>
      </c>
    </row>
    <row r="1116" spans="2:19" ht="12.75">
      <c r="B1116" s="94">
        <f t="shared" si="94"/>
        <v>570</v>
      </c>
      <c r="C1116" s="4"/>
      <c r="D1116" s="4"/>
      <c r="E1116" s="4"/>
      <c r="F1116" s="32" t="s">
        <v>164</v>
      </c>
      <c r="G1116" s="41">
        <v>637</v>
      </c>
      <c r="H1116" s="4" t="s">
        <v>126</v>
      </c>
      <c r="I1116" s="71">
        <v>1200</v>
      </c>
      <c r="J1116" s="71">
        <v>328</v>
      </c>
      <c r="K1116" s="190">
        <f t="shared" si="90"/>
        <v>27.333333333333332</v>
      </c>
      <c r="L1116" s="178"/>
      <c r="M1116" s="71"/>
      <c r="N1116" s="71"/>
      <c r="O1116" s="189"/>
      <c r="P1116" s="178"/>
      <c r="Q1116" s="71">
        <f t="shared" si="91"/>
        <v>1200</v>
      </c>
      <c r="R1116" s="71">
        <f t="shared" si="92"/>
        <v>328</v>
      </c>
      <c r="S1116" s="188">
        <f t="shared" si="93"/>
        <v>27.333333333333332</v>
      </c>
    </row>
    <row r="1117" spans="2:19" ht="12.75">
      <c r="B1117" s="94">
        <f t="shared" si="94"/>
        <v>571</v>
      </c>
      <c r="C1117" s="8"/>
      <c r="D1117" s="8"/>
      <c r="E1117" s="8" t="s">
        <v>97</v>
      </c>
      <c r="F1117" s="37"/>
      <c r="G1117" s="45"/>
      <c r="H1117" s="8" t="s">
        <v>63</v>
      </c>
      <c r="I1117" s="85">
        <f>I1118+I1119+I1120</f>
        <v>105735</v>
      </c>
      <c r="J1117" s="85">
        <f>J1118+J1119+J1120</f>
        <v>31114</v>
      </c>
      <c r="K1117" s="190">
        <f t="shared" si="90"/>
        <v>29.426396179127064</v>
      </c>
      <c r="L1117" s="177"/>
      <c r="M1117" s="85"/>
      <c r="N1117" s="85"/>
      <c r="O1117" s="189"/>
      <c r="P1117" s="177"/>
      <c r="Q1117" s="85">
        <f t="shared" si="91"/>
        <v>105735</v>
      </c>
      <c r="R1117" s="85">
        <f t="shared" si="92"/>
        <v>31114</v>
      </c>
      <c r="S1117" s="188">
        <f t="shared" si="93"/>
        <v>29.426396179127064</v>
      </c>
    </row>
    <row r="1118" spans="2:19" ht="12.75">
      <c r="B1118" s="94">
        <f t="shared" si="94"/>
        <v>572</v>
      </c>
      <c r="C1118" s="3"/>
      <c r="D1118" s="3"/>
      <c r="E1118" s="3"/>
      <c r="F1118" s="92" t="s">
        <v>164</v>
      </c>
      <c r="G1118" s="93">
        <v>610</v>
      </c>
      <c r="H1118" s="3" t="s">
        <v>134</v>
      </c>
      <c r="I1118" s="70">
        <v>35346</v>
      </c>
      <c r="J1118" s="70">
        <v>16261</v>
      </c>
      <c r="K1118" s="190">
        <f t="shared" si="90"/>
        <v>46.00520568098229</v>
      </c>
      <c r="L1118" s="177"/>
      <c r="M1118" s="70"/>
      <c r="N1118" s="70"/>
      <c r="O1118" s="189"/>
      <c r="P1118" s="177"/>
      <c r="Q1118" s="70">
        <f t="shared" si="91"/>
        <v>35346</v>
      </c>
      <c r="R1118" s="70">
        <f t="shared" si="92"/>
        <v>16261</v>
      </c>
      <c r="S1118" s="188">
        <f t="shared" si="93"/>
        <v>46.00520568098229</v>
      </c>
    </row>
    <row r="1119" spans="2:19" ht="12.75">
      <c r="B1119" s="94">
        <f t="shared" si="94"/>
        <v>573</v>
      </c>
      <c r="C1119" s="3"/>
      <c r="D1119" s="3"/>
      <c r="E1119" s="3"/>
      <c r="F1119" s="92" t="s">
        <v>164</v>
      </c>
      <c r="G1119" s="93">
        <v>620</v>
      </c>
      <c r="H1119" s="3" t="s">
        <v>128</v>
      </c>
      <c r="I1119" s="70">
        <v>13060</v>
      </c>
      <c r="J1119" s="70">
        <v>6057</v>
      </c>
      <c r="K1119" s="190">
        <f t="shared" si="90"/>
        <v>46.37825421133231</v>
      </c>
      <c r="L1119" s="177"/>
      <c r="M1119" s="70"/>
      <c r="N1119" s="70"/>
      <c r="O1119" s="189"/>
      <c r="P1119" s="177"/>
      <c r="Q1119" s="70">
        <f t="shared" si="91"/>
        <v>13060</v>
      </c>
      <c r="R1119" s="70">
        <f t="shared" si="92"/>
        <v>6057</v>
      </c>
      <c r="S1119" s="188">
        <f t="shared" si="93"/>
        <v>46.37825421133231</v>
      </c>
    </row>
    <row r="1120" spans="2:19" ht="12.75">
      <c r="B1120" s="94">
        <f t="shared" si="94"/>
        <v>574</v>
      </c>
      <c r="C1120" s="3"/>
      <c r="D1120" s="3"/>
      <c r="E1120" s="3"/>
      <c r="F1120" s="92" t="s">
        <v>164</v>
      </c>
      <c r="G1120" s="93">
        <v>630</v>
      </c>
      <c r="H1120" s="3" t="s">
        <v>125</v>
      </c>
      <c r="I1120" s="70">
        <f>SUM(I1121:I1123)</f>
        <v>57329</v>
      </c>
      <c r="J1120" s="70">
        <f>SUM(J1121:J1123)</f>
        <v>8796</v>
      </c>
      <c r="K1120" s="190">
        <f t="shared" si="90"/>
        <v>15.34302011198521</v>
      </c>
      <c r="L1120" s="177"/>
      <c r="M1120" s="70"/>
      <c r="N1120" s="70"/>
      <c r="O1120" s="189"/>
      <c r="P1120" s="177"/>
      <c r="Q1120" s="70">
        <f t="shared" si="91"/>
        <v>57329</v>
      </c>
      <c r="R1120" s="70">
        <f t="shared" si="92"/>
        <v>8796</v>
      </c>
      <c r="S1120" s="188">
        <f t="shared" si="93"/>
        <v>15.34302011198521</v>
      </c>
    </row>
    <row r="1121" spans="2:19" ht="12.75">
      <c r="B1121" s="94">
        <f t="shared" si="94"/>
        <v>575</v>
      </c>
      <c r="C1121" s="4"/>
      <c r="D1121" s="4"/>
      <c r="E1121" s="4"/>
      <c r="F1121" s="32" t="s">
        <v>164</v>
      </c>
      <c r="G1121" s="41">
        <v>633</v>
      </c>
      <c r="H1121" s="4" t="s">
        <v>129</v>
      </c>
      <c r="I1121" s="71">
        <v>55465</v>
      </c>
      <c r="J1121" s="71">
        <v>8307</v>
      </c>
      <c r="K1121" s="190">
        <f t="shared" si="90"/>
        <v>14.977012530424592</v>
      </c>
      <c r="L1121" s="178"/>
      <c r="M1121" s="71"/>
      <c r="N1121" s="71"/>
      <c r="O1121" s="189"/>
      <c r="P1121" s="178"/>
      <c r="Q1121" s="71">
        <f t="shared" si="91"/>
        <v>55465</v>
      </c>
      <c r="R1121" s="71">
        <f t="shared" si="92"/>
        <v>8307</v>
      </c>
      <c r="S1121" s="188">
        <f t="shared" si="93"/>
        <v>14.977012530424592</v>
      </c>
    </row>
    <row r="1122" spans="2:19" ht="12.75">
      <c r="B1122" s="94">
        <f t="shared" si="94"/>
        <v>576</v>
      </c>
      <c r="C1122" s="4"/>
      <c r="D1122" s="4"/>
      <c r="E1122" s="4"/>
      <c r="F1122" s="32" t="s">
        <v>164</v>
      </c>
      <c r="G1122" s="41">
        <v>635</v>
      </c>
      <c r="H1122" s="4" t="s">
        <v>136</v>
      </c>
      <c r="I1122" s="71">
        <v>200</v>
      </c>
      <c r="J1122" s="71">
        <v>0</v>
      </c>
      <c r="K1122" s="190">
        <f t="shared" si="90"/>
        <v>0</v>
      </c>
      <c r="L1122" s="178"/>
      <c r="M1122" s="71"/>
      <c r="N1122" s="71"/>
      <c r="O1122" s="189"/>
      <c r="P1122" s="178"/>
      <c r="Q1122" s="71">
        <f t="shared" si="91"/>
        <v>200</v>
      </c>
      <c r="R1122" s="71">
        <f t="shared" si="92"/>
        <v>0</v>
      </c>
      <c r="S1122" s="188">
        <f t="shared" si="93"/>
        <v>0</v>
      </c>
    </row>
    <row r="1123" spans="2:19" ht="12.75">
      <c r="B1123" s="94">
        <f t="shared" si="94"/>
        <v>577</v>
      </c>
      <c r="C1123" s="4"/>
      <c r="D1123" s="4"/>
      <c r="E1123" s="4"/>
      <c r="F1123" s="32" t="s">
        <v>164</v>
      </c>
      <c r="G1123" s="41">
        <v>637</v>
      </c>
      <c r="H1123" s="4" t="s">
        <v>126</v>
      </c>
      <c r="I1123" s="71">
        <v>1664</v>
      </c>
      <c r="J1123" s="71">
        <v>489</v>
      </c>
      <c r="K1123" s="190">
        <f t="shared" si="90"/>
        <v>29.38701923076923</v>
      </c>
      <c r="L1123" s="178"/>
      <c r="M1123" s="71"/>
      <c r="N1123" s="71"/>
      <c r="O1123" s="189"/>
      <c r="P1123" s="178"/>
      <c r="Q1123" s="71">
        <f t="shared" si="91"/>
        <v>1664</v>
      </c>
      <c r="R1123" s="71">
        <f t="shared" si="92"/>
        <v>489</v>
      </c>
      <c r="S1123" s="188">
        <f t="shared" si="93"/>
        <v>29.38701923076923</v>
      </c>
    </row>
    <row r="1124" spans="2:19" ht="12.75">
      <c r="B1124" s="94">
        <f t="shared" si="94"/>
        <v>578</v>
      </c>
      <c r="C1124" s="8"/>
      <c r="D1124" s="8"/>
      <c r="E1124" s="8" t="s">
        <v>100</v>
      </c>
      <c r="F1124" s="37"/>
      <c r="G1124" s="45"/>
      <c r="H1124" s="8" t="s">
        <v>64</v>
      </c>
      <c r="I1124" s="85">
        <f>I1125+I1126+I1127</f>
        <v>69827</v>
      </c>
      <c r="J1124" s="85">
        <f>J1125+J1126+J1127</f>
        <v>22871</v>
      </c>
      <c r="K1124" s="190">
        <f t="shared" si="90"/>
        <v>32.75380583441935</v>
      </c>
      <c r="L1124" s="177"/>
      <c r="M1124" s="85"/>
      <c r="N1124" s="85"/>
      <c r="O1124" s="189"/>
      <c r="P1124" s="177"/>
      <c r="Q1124" s="85">
        <f t="shared" si="91"/>
        <v>69827</v>
      </c>
      <c r="R1124" s="85">
        <f t="shared" si="92"/>
        <v>22871</v>
      </c>
      <c r="S1124" s="188">
        <f t="shared" si="93"/>
        <v>32.75380583441935</v>
      </c>
    </row>
    <row r="1125" spans="2:19" ht="12.75">
      <c r="B1125" s="94">
        <f t="shared" si="94"/>
        <v>579</v>
      </c>
      <c r="C1125" s="3"/>
      <c r="D1125" s="3"/>
      <c r="E1125" s="3"/>
      <c r="F1125" s="92" t="s">
        <v>164</v>
      </c>
      <c r="G1125" s="93">
        <v>610</v>
      </c>
      <c r="H1125" s="3" t="s">
        <v>134</v>
      </c>
      <c r="I1125" s="70">
        <v>27087</v>
      </c>
      <c r="J1125" s="70">
        <v>12496</v>
      </c>
      <c r="K1125" s="190">
        <f t="shared" si="90"/>
        <v>46.13283124746188</v>
      </c>
      <c r="L1125" s="177"/>
      <c r="M1125" s="70"/>
      <c r="N1125" s="70"/>
      <c r="O1125" s="189"/>
      <c r="P1125" s="177"/>
      <c r="Q1125" s="70">
        <f t="shared" si="91"/>
        <v>27087</v>
      </c>
      <c r="R1125" s="70">
        <f t="shared" si="92"/>
        <v>12496</v>
      </c>
      <c r="S1125" s="188">
        <f t="shared" si="93"/>
        <v>46.13283124746188</v>
      </c>
    </row>
    <row r="1126" spans="2:19" ht="12.75">
      <c r="B1126" s="94">
        <f t="shared" si="94"/>
        <v>580</v>
      </c>
      <c r="C1126" s="3"/>
      <c r="D1126" s="3"/>
      <c r="E1126" s="3"/>
      <c r="F1126" s="92" t="s">
        <v>164</v>
      </c>
      <c r="G1126" s="93">
        <v>620</v>
      </c>
      <c r="H1126" s="3" t="s">
        <v>128</v>
      </c>
      <c r="I1126" s="70">
        <v>10009</v>
      </c>
      <c r="J1126" s="70">
        <v>4471</v>
      </c>
      <c r="K1126" s="190">
        <f t="shared" si="90"/>
        <v>44.66979718253572</v>
      </c>
      <c r="L1126" s="177"/>
      <c r="M1126" s="70"/>
      <c r="N1126" s="70"/>
      <c r="O1126" s="189"/>
      <c r="P1126" s="177"/>
      <c r="Q1126" s="70">
        <f t="shared" si="91"/>
        <v>10009</v>
      </c>
      <c r="R1126" s="70">
        <f t="shared" si="92"/>
        <v>4471</v>
      </c>
      <c r="S1126" s="188">
        <f t="shared" si="93"/>
        <v>44.66979718253572</v>
      </c>
    </row>
    <row r="1127" spans="2:19" ht="12.75">
      <c r="B1127" s="94">
        <f t="shared" si="94"/>
        <v>581</v>
      </c>
      <c r="C1127" s="3"/>
      <c r="D1127" s="3"/>
      <c r="E1127" s="3"/>
      <c r="F1127" s="92" t="s">
        <v>164</v>
      </c>
      <c r="G1127" s="93">
        <v>630</v>
      </c>
      <c r="H1127" s="3" t="s">
        <v>125</v>
      </c>
      <c r="I1127" s="70">
        <f>SUM(I1128:I1130)</f>
        <v>32731</v>
      </c>
      <c r="J1127" s="70">
        <f>SUM(J1128:J1130)</f>
        <v>5904</v>
      </c>
      <c r="K1127" s="190">
        <f aca="true" t="shared" si="95" ref="K1127:K1190">J1127/I1127*100</f>
        <v>18.03794567840885</v>
      </c>
      <c r="L1127" s="177"/>
      <c r="M1127" s="70"/>
      <c r="N1127" s="70"/>
      <c r="O1127" s="189"/>
      <c r="P1127" s="177"/>
      <c r="Q1127" s="70">
        <f aca="true" t="shared" si="96" ref="Q1127:Q1190">M1127+I1127</f>
        <v>32731</v>
      </c>
      <c r="R1127" s="70">
        <f aca="true" t="shared" si="97" ref="R1127:R1170">N1127+J1127</f>
        <v>5904</v>
      </c>
      <c r="S1127" s="188">
        <f aca="true" t="shared" si="98" ref="S1127:S1190">R1127/Q1127*100</f>
        <v>18.03794567840885</v>
      </c>
    </row>
    <row r="1128" spans="2:19" ht="12.75">
      <c r="B1128" s="94">
        <f t="shared" si="94"/>
        <v>582</v>
      </c>
      <c r="C1128" s="4"/>
      <c r="D1128" s="4"/>
      <c r="E1128" s="4"/>
      <c r="F1128" s="32" t="s">
        <v>164</v>
      </c>
      <c r="G1128" s="41">
        <v>633</v>
      </c>
      <c r="H1128" s="4" t="s">
        <v>129</v>
      </c>
      <c r="I1128" s="71">
        <v>31475</v>
      </c>
      <c r="J1128" s="71">
        <v>5596</v>
      </c>
      <c r="K1128" s="190">
        <f t="shared" si="95"/>
        <v>17.779189833200952</v>
      </c>
      <c r="L1128" s="178"/>
      <c r="M1128" s="71"/>
      <c r="N1128" s="71"/>
      <c r="O1128" s="189"/>
      <c r="P1128" s="178"/>
      <c r="Q1128" s="71">
        <f t="shared" si="96"/>
        <v>31475</v>
      </c>
      <c r="R1128" s="71">
        <f t="shared" si="97"/>
        <v>5596</v>
      </c>
      <c r="S1128" s="188">
        <f t="shared" si="98"/>
        <v>17.779189833200952</v>
      </c>
    </row>
    <row r="1129" spans="2:19" ht="12.75">
      <c r="B1129" s="94">
        <f aca="true" t="shared" si="99" ref="B1129:B1192">B1128+1</f>
        <v>583</v>
      </c>
      <c r="C1129" s="4"/>
      <c r="D1129" s="4"/>
      <c r="E1129" s="4"/>
      <c r="F1129" s="32" t="s">
        <v>164</v>
      </c>
      <c r="G1129" s="41">
        <v>635</v>
      </c>
      <c r="H1129" s="4" t="s">
        <v>136</v>
      </c>
      <c r="I1129" s="71">
        <v>200</v>
      </c>
      <c r="J1129" s="71">
        <v>0</v>
      </c>
      <c r="K1129" s="190">
        <f t="shared" si="95"/>
        <v>0</v>
      </c>
      <c r="L1129" s="178"/>
      <c r="M1129" s="71"/>
      <c r="N1129" s="71"/>
      <c r="O1129" s="189"/>
      <c r="P1129" s="178"/>
      <c r="Q1129" s="71">
        <f t="shared" si="96"/>
        <v>200</v>
      </c>
      <c r="R1129" s="71">
        <f t="shared" si="97"/>
        <v>0</v>
      </c>
      <c r="S1129" s="188">
        <f t="shared" si="98"/>
        <v>0</v>
      </c>
    </row>
    <row r="1130" spans="2:19" ht="12.75">
      <c r="B1130" s="94">
        <f t="shared" si="99"/>
        <v>584</v>
      </c>
      <c r="C1130" s="4"/>
      <c r="D1130" s="4"/>
      <c r="E1130" s="4"/>
      <c r="F1130" s="32" t="s">
        <v>164</v>
      </c>
      <c r="G1130" s="41">
        <v>637</v>
      </c>
      <c r="H1130" s="4" t="s">
        <v>126</v>
      </c>
      <c r="I1130" s="71">
        <v>1056</v>
      </c>
      <c r="J1130" s="71">
        <v>308</v>
      </c>
      <c r="K1130" s="190">
        <f t="shared" si="95"/>
        <v>29.166666666666668</v>
      </c>
      <c r="L1130" s="178"/>
      <c r="M1130" s="71"/>
      <c r="N1130" s="71"/>
      <c r="O1130" s="189"/>
      <c r="P1130" s="178"/>
      <c r="Q1130" s="71">
        <f t="shared" si="96"/>
        <v>1056</v>
      </c>
      <c r="R1130" s="71">
        <f t="shared" si="97"/>
        <v>308</v>
      </c>
      <c r="S1130" s="188">
        <f t="shared" si="98"/>
        <v>29.166666666666668</v>
      </c>
    </row>
    <row r="1131" spans="2:19" ht="12.75">
      <c r="B1131" s="94">
        <f t="shared" si="99"/>
        <v>585</v>
      </c>
      <c r="C1131" s="8"/>
      <c r="D1131" s="8"/>
      <c r="E1131" s="8" t="s">
        <v>93</v>
      </c>
      <c r="F1131" s="37"/>
      <c r="G1131" s="45"/>
      <c r="H1131" s="8" t="s">
        <v>94</v>
      </c>
      <c r="I1131" s="85">
        <f>I1132+I1133+I1134+I1138</f>
        <v>39246</v>
      </c>
      <c r="J1131" s="85">
        <f>J1132+J1133+J1134+J1138</f>
        <v>13371</v>
      </c>
      <c r="K1131" s="190">
        <f t="shared" si="95"/>
        <v>34.06971411099221</v>
      </c>
      <c r="L1131" s="177"/>
      <c r="M1131" s="85"/>
      <c r="N1131" s="85"/>
      <c r="O1131" s="189"/>
      <c r="P1131" s="177"/>
      <c r="Q1131" s="85">
        <f t="shared" si="96"/>
        <v>39246</v>
      </c>
      <c r="R1131" s="85">
        <f t="shared" si="97"/>
        <v>13371</v>
      </c>
      <c r="S1131" s="188">
        <f t="shared" si="98"/>
        <v>34.06971411099221</v>
      </c>
    </row>
    <row r="1132" spans="2:19" ht="12.75">
      <c r="B1132" s="94">
        <f t="shared" si="99"/>
        <v>586</v>
      </c>
      <c r="C1132" s="3"/>
      <c r="D1132" s="3"/>
      <c r="E1132" s="3"/>
      <c r="F1132" s="92" t="s">
        <v>164</v>
      </c>
      <c r="G1132" s="93">
        <v>610</v>
      </c>
      <c r="H1132" s="3" t="s">
        <v>134</v>
      </c>
      <c r="I1132" s="70">
        <v>14570</v>
      </c>
      <c r="J1132" s="70">
        <v>7691</v>
      </c>
      <c r="K1132" s="190">
        <f t="shared" si="95"/>
        <v>52.78654770075497</v>
      </c>
      <c r="L1132" s="177"/>
      <c r="M1132" s="70"/>
      <c r="N1132" s="70"/>
      <c r="O1132" s="189"/>
      <c r="P1132" s="177"/>
      <c r="Q1132" s="70">
        <f t="shared" si="96"/>
        <v>14570</v>
      </c>
      <c r="R1132" s="70">
        <f t="shared" si="97"/>
        <v>7691</v>
      </c>
      <c r="S1132" s="188">
        <f t="shared" si="98"/>
        <v>52.78654770075497</v>
      </c>
    </row>
    <row r="1133" spans="2:19" ht="12.75">
      <c r="B1133" s="94">
        <f t="shared" si="99"/>
        <v>587</v>
      </c>
      <c r="C1133" s="3"/>
      <c r="D1133" s="3"/>
      <c r="E1133" s="3"/>
      <c r="F1133" s="92" t="s">
        <v>164</v>
      </c>
      <c r="G1133" s="93">
        <v>620</v>
      </c>
      <c r="H1133" s="3" t="s">
        <v>128</v>
      </c>
      <c r="I1133" s="70">
        <v>5384</v>
      </c>
      <c r="J1133" s="70">
        <v>2616</v>
      </c>
      <c r="K1133" s="190">
        <f t="shared" si="95"/>
        <v>48.588410104011885</v>
      </c>
      <c r="L1133" s="177"/>
      <c r="M1133" s="70"/>
      <c r="N1133" s="70"/>
      <c r="O1133" s="189"/>
      <c r="P1133" s="177"/>
      <c r="Q1133" s="70">
        <f t="shared" si="96"/>
        <v>5384</v>
      </c>
      <c r="R1133" s="70">
        <f t="shared" si="97"/>
        <v>2616</v>
      </c>
      <c r="S1133" s="188">
        <f t="shared" si="98"/>
        <v>48.588410104011885</v>
      </c>
    </row>
    <row r="1134" spans="2:19" ht="12.75">
      <c r="B1134" s="94">
        <f t="shared" si="99"/>
        <v>588</v>
      </c>
      <c r="C1134" s="3"/>
      <c r="D1134" s="3"/>
      <c r="E1134" s="3"/>
      <c r="F1134" s="92" t="s">
        <v>164</v>
      </c>
      <c r="G1134" s="93">
        <v>630</v>
      </c>
      <c r="H1134" s="3" t="s">
        <v>125</v>
      </c>
      <c r="I1134" s="70">
        <f>SUM(I1135:I1137)</f>
        <v>17790</v>
      </c>
      <c r="J1134" s="70">
        <f>SUM(J1135:J1137)</f>
        <v>3064</v>
      </c>
      <c r="K1134" s="190">
        <f t="shared" si="95"/>
        <v>17.223159078133783</v>
      </c>
      <c r="L1134" s="177"/>
      <c r="M1134" s="70"/>
      <c r="N1134" s="70"/>
      <c r="O1134" s="189"/>
      <c r="P1134" s="177"/>
      <c r="Q1134" s="70">
        <f t="shared" si="96"/>
        <v>17790</v>
      </c>
      <c r="R1134" s="70">
        <f t="shared" si="97"/>
        <v>3064</v>
      </c>
      <c r="S1134" s="188">
        <f t="shared" si="98"/>
        <v>17.223159078133783</v>
      </c>
    </row>
    <row r="1135" spans="2:19" ht="12.75">
      <c r="B1135" s="94">
        <f t="shared" si="99"/>
        <v>589</v>
      </c>
      <c r="C1135" s="4"/>
      <c r="D1135" s="4"/>
      <c r="E1135" s="4"/>
      <c r="F1135" s="32" t="s">
        <v>164</v>
      </c>
      <c r="G1135" s="41">
        <v>633</v>
      </c>
      <c r="H1135" s="4" t="s">
        <v>129</v>
      </c>
      <c r="I1135" s="71">
        <v>15650</v>
      </c>
      <c r="J1135" s="71">
        <v>2795</v>
      </c>
      <c r="K1135" s="190">
        <f t="shared" si="95"/>
        <v>17.859424920127793</v>
      </c>
      <c r="L1135" s="178"/>
      <c r="M1135" s="71"/>
      <c r="N1135" s="71"/>
      <c r="O1135" s="189"/>
      <c r="P1135" s="178"/>
      <c r="Q1135" s="71">
        <f t="shared" si="96"/>
        <v>15650</v>
      </c>
      <c r="R1135" s="71">
        <f t="shared" si="97"/>
        <v>2795</v>
      </c>
      <c r="S1135" s="188">
        <f t="shared" si="98"/>
        <v>17.859424920127793</v>
      </c>
    </row>
    <row r="1136" spans="2:19" ht="12.75">
      <c r="B1136" s="94">
        <f t="shared" si="99"/>
        <v>590</v>
      </c>
      <c r="C1136" s="4"/>
      <c r="D1136" s="4"/>
      <c r="E1136" s="4"/>
      <c r="F1136" s="32" t="s">
        <v>164</v>
      </c>
      <c r="G1136" s="41">
        <v>635</v>
      </c>
      <c r="H1136" s="4" t="s">
        <v>136</v>
      </c>
      <c r="I1136" s="71">
        <v>1200</v>
      </c>
      <c r="J1136" s="71">
        <v>36</v>
      </c>
      <c r="K1136" s="190">
        <f t="shared" si="95"/>
        <v>3</v>
      </c>
      <c r="L1136" s="178"/>
      <c r="M1136" s="71"/>
      <c r="N1136" s="71"/>
      <c r="O1136" s="189"/>
      <c r="P1136" s="178"/>
      <c r="Q1136" s="71">
        <f t="shared" si="96"/>
        <v>1200</v>
      </c>
      <c r="R1136" s="71">
        <f t="shared" si="97"/>
        <v>36</v>
      </c>
      <c r="S1136" s="188">
        <f t="shared" si="98"/>
        <v>3</v>
      </c>
    </row>
    <row r="1137" spans="2:19" ht="12.75">
      <c r="B1137" s="94">
        <f t="shared" si="99"/>
        <v>591</v>
      </c>
      <c r="C1137" s="4"/>
      <c r="D1137" s="4"/>
      <c r="E1137" s="4"/>
      <c r="F1137" s="32" t="s">
        <v>164</v>
      </c>
      <c r="G1137" s="41">
        <v>637</v>
      </c>
      <c r="H1137" s="4" t="s">
        <v>126</v>
      </c>
      <c r="I1137" s="71">
        <v>940</v>
      </c>
      <c r="J1137" s="71">
        <v>233</v>
      </c>
      <c r="K1137" s="190">
        <f t="shared" si="95"/>
        <v>24.78723404255319</v>
      </c>
      <c r="L1137" s="178"/>
      <c r="M1137" s="71"/>
      <c r="N1137" s="71"/>
      <c r="O1137" s="189"/>
      <c r="P1137" s="178"/>
      <c r="Q1137" s="71">
        <f t="shared" si="96"/>
        <v>940</v>
      </c>
      <c r="R1137" s="71">
        <f t="shared" si="97"/>
        <v>233</v>
      </c>
      <c r="S1137" s="188">
        <f t="shared" si="98"/>
        <v>24.78723404255319</v>
      </c>
    </row>
    <row r="1138" spans="2:19" ht="12.75">
      <c r="B1138" s="94">
        <f t="shared" si="99"/>
        <v>592</v>
      </c>
      <c r="C1138" s="3"/>
      <c r="D1138" s="3"/>
      <c r="E1138" s="3"/>
      <c r="F1138" s="92" t="s">
        <v>164</v>
      </c>
      <c r="G1138" s="93">
        <v>640</v>
      </c>
      <c r="H1138" s="3" t="s">
        <v>132</v>
      </c>
      <c r="I1138" s="70">
        <v>1502</v>
      </c>
      <c r="J1138" s="70">
        <v>0</v>
      </c>
      <c r="K1138" s="190">
        <f t="shared" si="95"/>
        <v>0</v>
      </c>
      <c r="L1138" s="177"/>
      <c r="M1138" s="70"/>
      <c r="N1138" s="70"/>
      <c r="O1138" s="189"/>
      <c r="P1138" s="177"/>
      <c r="Q1138" s="70">
        <f t="shared" si="96"/>
        <v>1502</v>
      </c>
      <c r="R1138" s="70">
        <f t="shared" si="97"/>
        <v>0</v>
      </c>
      <c r="S1138" s="188">
        <f t="shared" si="98"/>
        <v>0</v>
      </c>
    </row>
    <row r="1139" spans="2:19" ht="12.75">
      <c r="B1139" s="94">
        <f t="shared" si="99"/>
        <v>593</v>
      </c>
      <c r="C1139" s="8"/>
      <c r="D1139" s="8"/>
      <c r="E1139" s="8" t="s">
        <v>86</v>
      </c>
      <c r="F1139" s="37"/>
      <c r="G1139" s="45"/>
      <c r="H1139" s="8" t="s">
        <v>204</v>
      </c>
      <c r="I1139" s="85">
        <f>I1140+I1141+I1142</f>
        <v>51729</v>
      </c>
      <c r="J1139" s="85">
        <f>J1140+J1141+J1142</f>
        <v>19280</v>
      </c>
      <c r="K1139" s="190">
        <f t="shared" si="95"/>
        <v>37.271163177328</v>
      </c>
      <c r="L1139" s="177"/>
      <c r="M1139" s="85"/>
      <c r="N1139" s="85"/>
      <c r="O1139" s="189"/>
      <c r="P1139" s="177"/>
      <c r="Q1139" s="85">
        <f t="shared" si="96"/>
        <v>51729</v>
      </c>
      <c r="R1139" s="85">
        <f t="shared" si="97"/>
        <v>19280</v>
      </c>
      <c r="S1139" s="188">
        <f t="shared" si="98"/>
        <v>37.271163177328</v>
      </c>
    </row>
    <row r="1140" spans="2:19" ht="12.75">
      <c r="B1140" s="94">
        <f t="shared" si="99"/>
        <v>594</v>
      </c>
      <c r="C1140" s="3"/>
      <c r="D1140" s="3"/>
      <c r="E1140" s="3"/>
      <c r="F1140" s="92" t="s">
        <v>164</v>
      </c>
      <c r="G1140" s="93">
        <v>610</v>
      </c>
      <c r="H1140" s="3" t="s">
        <v>134</v>
      </c>
      <c r="I1140" s="70">
        <v>22829</v>
      </c>
      <c r="J1140" s="70">
        <v>9160</v>
      </c>
      <c r="K1140" s="190">
        <f t="shared" si="95"/>
        <v>40.12440317140479</v>
      </c>
      <c r="L1140" s="177"/>
      <c r="M1140" s="70"/>
      <c r="N1140" s="70"/>
      <c r="O1140" s="189"/>
      <c r="P1140" s="177"/>
      <c r="Q1140" s="70">
        <f t="shared" si="96"/>
        <v>22829</v>
      </c>
      <c r="R1140" s="70">
        <f t="shared" si="97"/>
        <v>9160</v>
      </c>
      <c r="S1140" s="188">
        <f t="shared" si="98"/>
        <v>40.12440317140479</v>
      </c>
    </row>
    <row r="1141" spans="2:19" ht="12.75">
      <c r="B1141" s="94">
        <f t="shared" si="99"/>
        <v>595</v>
      </c>
      <c r="C1141" s="3"/>
      <c r="D1141" s="3"/>
      <c r="E1141" s="3"/>
      <c r="F1141" s="92" t="s">
        <v>164</v>
      </c>
      <c r="G1141" s="93">
        <v>620</v>
      </c>
      <c r="H1141" s="3" t="s">
        <v>128</v>
      </c>
      <c r="I1141" s="70">
        <v>8435</v>
      </c>
      <c r="J1141" s="70">
        <v>3227</v>
      </c>
      <c r="K1141" s="190">
        <f t="shared" si="95"/>
        <v>38.25726141078838</v>
      </c>
      <c r="L1141" s="177"/>
      <c r="M1141" s="70"/>
      <c r="N1141" s="70"/>
      <c r="O1141" s="189"/>
      <c r="P1141" s="177"/>
      <c r="Q1141" s="70">
        <f t="shared" si="96"/>
        <v>8435</v>
      </c>
      <c r="R1141" s="70">
        <f t="shared" si="97"/>
        <v>3227</v>
      </c>
      <c r="S1141" s="188">
        <f t="shared" si="98"/>
        <v>38.25726141078838</v>
      </c>
    </row>
    <row r="1142" spans="2:19" ht="12.75">
      <c r="B1142" s="94">
        <f t="shared" si="99"/>
        <v>596</v>
      </c>
      <c r="C1142" s="3"/>
      <c r="D1142" s="3"/>
      <c r="E1142" s="3"/>
      <c r="F1142" s="92" t="s">
        <v>164</v>
      </c>
      <c r="G1142" s="93">
        <v>630</v>
      </c>
      <c r="H1142" s="3" t="s">
        <v>125</v>
      </c>
      <c r="I1142" s="70">
        <f>SUM(I1143:I1145)</f>
        <v>20465</v>
      </c>
      <c r="J1142" s="70">
        <f>SUM(J1143:J1145)</f>
        <v>6893</v>
      </c>
      <c r="K1142" s="190">
        <f t="shared" si="95"/>
        <v>33.68189591986318</v>
      </c>
      <c r="L1142" s="177"/>
      <c r="M1142" s="70"/>
      <c r="N1142" s="70"/>
      <c r="O1142" s="189"/>
      <c r="P1142" s="177"/>
      <c r="Q1142" s="70">
        <f t="shared" si="96"/>
        <v>20465</v>
      </c>
      <c r="R1142" s="70">
        <f t="shared" si="97"/>
        <v>6893</v>
      </c>
      <c r="S1142" s="188">
        <f t="shared" si="98"/>
        <v>33.68189591986318</v>
      </c>
    </row>
    <row r="1143" spans="2:19" ht="12.75">
      <c r="B1143" s="94">
        <f t="shared" si="99"/>
        <v>597</v>
      </c>
      <c r="C1143" s="4"/>
      <c r="D1143" s="4"/>
      <c r="E1143" s="4"/>
      <c r="F1143" s="32" t="s">
        <v>164</v>
      </c>
      <c r="G1143" s="41">
        <v>633</v>
      </c>
      <c r="H1143" s="4" t="s">
        <v>129</v>
      </c>
      <c r="I1143" s="71">
        <v>18415</v>
      </c>
      <c r="J1143" s="71">
        <v>5931</v>
      </c>
      <c r="K1143" s="190">
        <f t="shared" si="95"/>
        <v>32.20743958729297</v>
      </c>
      <c r="L1143" s="178"/>
      <c r="M1143" s="71"/>
      <c r="N1143" s="71"/>
      <c r="O1143" s="189"/>
      <c r="P1143" s="178"/>
      <c r="Q1143" s="71">
        <f t="shared" si="96"/>
        <v>18415</v>
      </c>
      <c r="R1143" s="71">
        <f t="shared" si="97"/>
        <v>5931</v>
      </c>
      <c r="S1143" s="188">
        <f t="shared" si="98"/>
        <v>32.20743958729297</v>
      </c>
    </row>
    <row r="1144" spans="2:19" ht="12.75">
      <c r="B1144" s="94">
        <f t="shared" si="99"/>
        <v>598</v>
      </c>
      <c r="C1144" s="4"/>
      <c r="D1144" s="4"/>
      <c r="E1144" s="4"/>
      <c r="F1144" s="32" t="s">
        <v>164</v>
      </c>
      <c r="G1144" s="41">
        <v>635</v>
      </c>
      <c r="H1144" s="4" t="s">
        <v>136</v>
      </c>
      <c r="I1144" s="71">
        <v>1100</v>
      </c>
      <c r="J1144" s="71">
        <v>735</v>
      </c>
      <c r="K1144" s="190">
        <f t="shared" si="95"/>
        <v>66.81818181818183</v>
      </c>
      <c r="L1144" s="178"/>
      <c r="M1144" s="71"/>
      <c r="N1144" s="71"/>
      <c r="O1144" s="189"/>
      <c r="P1144" s="178"/>
      <c r="Q1144" s="71">
        <f t="shared" si="96"/>
        <v>1100</v>
      </c>
      <c r="R1144" s="71">
        <f t="shared" si="97"/>
        <v>735</v>
      </c>
      <c r="S1144" s="188">
        <f t="shared" si="98"/>
        <v>66.81818181818183</v>
      </c>
    </row>
    <row r="1145" spans="2:19" ht="12.75">
      <c r="B1145" s="94">
        <f t="shared" si="99"/>
        <v>599</v>
      </c>
      <c r="C1145" s="4"/>
      <c r="D1145" s="4"/>
      <c r="E1145" s="4"/>
      <c r="F1145" s="32" t="s">
        <v>164</v>
      </c>
      <c r="G1145" s="41">
        <v>637</v>
      </c>
      <c r="H1145" s="4" t="s">
        <v>126</v>
      </c>
      <c r="I1145" s="71">
        <v>950</v>
      </c>
      <c r="J1145" s="71">
        <v>227</v>
      </c>
      <c r="K1145" s="190">
        <f t="shared" si="95"/>
        <v>23.894736842105264</v>
      </c>
      <c r="L1145" s="178"/>
      <c r="M1145" s="71"/>
      <c r="N1145" s="71"/>
      <c r="O1145" s="189"/>
      <c r="P1145" s="178"/>
      <c r="Q1145" s="71">
        <f t="shared" si="96"/>
        <v>950</v>
      </c>
      <c r="R1145" s="71">
        <f t="shared" si="97"/>
        <v>227</v>
      </c>
      <c r="S1145" s="188">
        <f t="shared" si="98"/>
        <v>23.894736842105264</v>
      </c>
    </row>
    <row r="1146" spans="2:19" ht="12.75">
      <c r="B1146" s="94">
        <f t="shared" si="99"/>
        <v>600</v>
      </c>
      <c r="C1146" s="8"/>
      <c r="D1146" s="8"/>
      <c r="E1146" s="8" t="s">
        <v>87</v>
      </c>
      <c r="F1146" s="37"/>
      <c r="G1146" s="45"/>
      <c r="H1146" s="8" t="s">
        <v>88</v>
      </c>
      <c r="I1146" s="85">
        <f>I1147+I1148+I1149</f>
        <v>120593</v>
      </c>
      <c r="J1146" s="85">
        <f>J1147+J1148+J1149</f>
        <v>37340</v>
      </c>
      <c r="K1146" s="190">
        <f t="shared" si="95"/>
        <v>30.963654606817975</v>
      </c>
      <c r="L1146" s="177"/>
      <c r="M1146" s="85"/>
      <c r="N1146" s="85"/>
      <c r="O1146" s="189"/>
      <c r="P1146" s="177"/>
      <c r="Q1146" s="85">
        <f t="shared" si="96"/>
        <v>120593</v>
      </c>
      <c r="R1146" s="85">
        <f t="shared" si="97"/>
        <v>37340</v>
      </c>
      <c r="S1146" s="188">
        <f t="shared" si="98"/>
        <v>30.963654606817975</v>
      </c>
    </row>
    <row r="1147" spans="2:19" ht="12.75">
      <c r="B1147" s="94">
        <f t="shared" si="99"/>
        <v>601</v>
      </c>
      <c r="C1147" s="3"/>
      <c r="D1147" s="3"/>
      <c r="E1147" s="3"/>
      <c r="F1147" s="92" t="s">
        <v>164</v>
      </c>
      <c r="G1147" s="93">
        <v>610</v>
      </c>
      <c r="H1147" s="3" t="s">
        <v>134</v>
      </c>
      <c r="I1147" s="70">
        <v>46512</v>
      </c>
      <c r="J1147" s="70">
        <v>19300</v>
      </c>
      <c r="K1147" s="190">
        <f t="shared" si="95"/>
        <v>41.49466804265566</v>
      </c>
      <c r="L1147" s="177"/>
      <c r="M1147" s="70"/>
      <c r="N1147" s="70"/>
      <c r="O1147" s="189"/>
      <c r="P1147" s="177"/>
      <c r="Q1147" s="70">
        <f t="shared" si="96"/>
        <v>46512</v>
      </c>
      <c r="R1147" s="70">
        <f t="shared" si="97"/>
        <v>19300</v>
      </c>
      <c r="S1147" s="188">
        <f t="shared" si="98"/>
        <v>41.49466804265566</v>
      </c>
    </row>
    <row r="1148" spans="2:19" ht="12.75">
      <c r="B1148" s="94">
        <f t="shared" si="99"/>
        <v>602</v>
      </c>
      <c r="C1148" s="3"/>
      <c r="D1148" s="3"/>
      <c r="E1148" s="3"/>
      <c r="F1148" s="92" t="s">
        <v>164</v>
      </c>
      <c r="G1148" s="93">
        <v>620</v>
      </c>
      <c r="H1148" s="3" t="s">
        <v>128</v>
      </c>
      <c r="I1148" s="70">
        <v>17186</v>
      </c>
      <c r="J1148" s="70">
        <v>6861</v>
      </c>
      <c r="K1148" s="190">
        <f t="shared" si="95"/>
        <v>39.92202955894333</v>
      </c>
      <c r="L1148" s="177"/>
      <c r="M1148" s="70"/>
      <c r="N1148" s="70"/>
      <c r="O1148" s="189"/>
      <c r="P1148" s="177"/>
      <c r="Q1148" s="70">
        <f t="shared" si="96"/>
        <v>17186</v>
      </c>
      <c r="R1148" s="70">
        <f t="shared" si="97"/>
        <v>6861</v>
      </c>
      <c r="S1148" s="188">
        <f t="shared" si="98"/>
        <v>39.92202955894333</v>
      </c>
    </row>
    <row r="1149" spans="2:19" ht="12.75">
      <c r="B1149" s="94">
        <f t="shared" si="99"/>
        <v>603</v>
      </c>
      <c r="C1149" s="3"/>
      <c r="D1149" s="3"/>
      <c r="E1149" s="3"/>
      <c r="F1149" s="92" t="s">
        <v>164</v>
      </c>
      <c r="G1149" s="93">
        <v>630</v>
      </c>
      <c r="H1149" s="3" t="s">
        <v>125</v>
      </c>
      <c r="I1149" s="70">
        <f>SUM(I1150:I1153)</f>
        <v>56895</v>
      </c>
      <c r="J1149" s="70">
        <f>SUM(J1150:J1153)</f>
        <v>11179</v>
      </c>
      <c r="K1149" s="190">
        <f t="shared" si="95"/>
        <v>19.648475261446524</v>
      </c>
      <c r="L1149" s="177"/>
      <c r="M1149" s="70"/>
      <c r="N1149" s="70"/>
      <c r="O1149" s="189"/>
      <c r="P1149" s="177"/>
      <c r="Q1149" s="70">
        <f t="shared" si="96"/>
        <v>56895</v>
      </c>
      <c r="R1149" s="70">
        <f t="shared" si="97"/>
        <v>11179</v>
      </c>
      <c r="S1149" s="188">
        <f t="shared" si="98"/>
        <v>19.648475261446524</v>
      </c>
    </row>
    <row r="1150" spans="2:19" ht="12.75">
      <c r="B1150" s="94">
        <f t="shared" si="99"/>
        <v>604</v>
      </c>
      <c r="C1150" s="4"/>
      <c r="D1150" s="4"/>
      <c r="E1150" s="4"/>
      <c r="F1150" s="32" t="s">
        <v>164</v>
      </c>
      <c r="G1150" s="41">
        <v>632</v>
      </c>
      <c r="H1150" s="4" t="s">
        <v>138</v>
      </c>
      <c r="I1150" s="71">
        <v>460</v>
      </c>
      <c r="J1150" s="71">
        <v>186</v>
      </c>
      <c r="K1150" s="190">
        <f t="shared" si="95"/>
        <v>40.43478260869565</v>
      </c>
      <c r="L1150" s="178"/>
      <c r="M1150" s="71"/>
      <c r="N1150" s="71"/>
      <c r="O1150" s="189"/>
      <c r="P1150" s="178"/>
      <c r="Q1150" s="71">
        <f t="shared" si="96"/>
        <v>460</v>
      </c>
      <c r="R1150" s="71">
        <f t="shared" si="97"/>
        <v>186</v>
      </c>
      <c r="S1150" s="188">
        <f t="shared" si="98"/>
        <v>40.43478260869565</v>
      </c>
    </row>
    <row r="1151" spans="2:19" ht="12.75">
      <c r="B1151" s="94">
        <f t="shared" si="99"/>
        <v>605</v>
      </c>
      <c r="C1151" s="4"/>
      <c r="D1151" s="4"/>
      <c r="E1151" s="4"/>
      <c r="F1151" s="32" t="s">
        <v>164</v>
      </c>
      <c r="G1151" s="41">
        <v>633</v>
      </c>
      <c r="H1151" s="4" t="s">
        <v>129</v>
      </c>
      <c r="I1151" s="71">
        <v>50545</v>
      </c>
      <c r="J1151" s="71">
        <v>9956</v>
      </c>
      <c r="K1151" s="190">
        <f t="shared" si="95"/>
        <v>19.69729943614601</v>
      </c>
      <c r="L1151" s="178"/>
      <c r="M1151" s="71"/>
      <c r="N1151" s="71"/>
      <c r="O1151" s="189"/>
      <c r="P1151" s="178"/>
      <c r="Q1151" s="71">
        <f t="shared" si="96"/>
        <v>50545</v>
      </c>
      <c r="R1151" s="71">
        <f t="shared" si="97"/>
        <v>9956</v>
      </c>
      <c r="S1151" s="188">
        <f t="shared" si="98"/>
        <v>19.69729943614601</v>
      </c>
    </row>
    <row r="1152" spans="2:19" ht="12.75">
      <c r="B1152" s="94">
        <f t="shared" si="99"/>
        <v>606</v>
      </c>
      <c r="C1152" s="4"/>
      <c r="D1152" s="4"/>
      <c r="E1152" s="4"/>
      <c r="F1152" s="32" t="s">
        <v>164</v>
      </c>
      <c r="G1152" s="41">
        <v>635</v>
      </c>
      <c r="H1152" s="4" t="s">
        <v>136</v>
      </c>
      <c r="I1152" s="71">
        <v>2500</v>
      </c>
      <c r="J1152" s="71">
        <v>107</v>
      </c>
      <c r="K1152" s="190">
        <f t="shared" si="95"/>
        <v>4.279999999999999</v>
      </c>
      <c r="L1152" s="178"/>
      <c r="M1152" s="71"/>
      <c r="N1152" s="71"/>
      <c r="O1152" s="189"/>
      <c r="P1152" s="178"/>
      <c r="Q1152" s="71">
        <f t="shared" si="96"/>
        <v>2500</v>
      </c>
      <c r="R1152" s="71">
        <f t="shared" si="97"/>
        <v>107</v>
      </c>
      <c r="S1152" s="188">
        <f t="shared" si="98"/>
        <v>4.279999999999999</v>
      </c>
    </row>
    <row r="1153" spans="2:19" ht="12.75">
      <c r="B1153" s="94">
        <f t="shared" si="99"/>
        <v>607</v>
      </c>
      <c r="C1153" s="4"/>
      <c r="D1153" s="4"/>
      <c r="E1153" s="4"/>
      <c r="F1153" s="32" t="s">
        <v>164</v>
      </c>
      <c r="G1153" s="41">
        <v>637</v>
      </c>
      <c r="H1153" s="4" t="s">
        <v>126</v>
      </c>
      <c r="I1153" s="71">
        <v>3390</v>
      </c>
      <c r="J1153" s="71">
        <v>930</v>
      </c>
      <c r="K1153" s="190">
        <f t="shared" si="95"/>
        <v>27.43362831858407</v>
      </c>
      <c r="L1153" s="178"/>
      <c r="M1153" s="71"/>
      <c r="N1153" s="71"/>
      <c r="O1153" s="189"/>
      <c r="P1153" s="178"/>
      <c r="Q1153" s="71">
        <f t="shared" si="96"/>
        <v>3390</v>
      </c>
      <c r="R1153" s="71">
        <f t="shared" si="97"/>
        <v>930</v>
      </c>
      <c r="S1153" s="188">
        <f t="shared" si="98"/>
        <v>27.43362831858407</v>
      </c>
    </row>
    <row r="1154" spans="2:19" ht="15">
      <c r="B1154" s="94">
        <f t="shared" si="99"/>
        <v>608</v>
      </c>
      <c r="C1154" s="12"/>
      <c r="D1154" s="12"/>
      <c r="E1154" s="12">
        <v>6</v>
      </c>
      <c r="F1154" s="35"/>
      <c r="G1154" s="43"/>
      <c r="H1154" s="12" t="s">
        <v>10</v>
      </c>
      <c r="I1154" s="82">
        <f>I1155+I1156+I1157+I1162+I1163+I1164+I1165+I1170</f>
        <v>213921</v>
      </c>
      <c r="J1154" s="82">
        <f>J1155+J1156+J1157+J1162+J1163+J1164+J1165+J1170</f>
        <v>82623</v>
      </c>
      <c r="K1154" s="190">
        <f t="shared" si="95"/>
        <v>38.62313657845654</v>
      </c>
      <c r="L1154" s="182"/>
      <c r="M1154" s="82">
        <f>M1171</f>
        <v>5500</v>
      </c>
      <c r="N1154" s="82">
        <f>N1171</f>
        <v>4552</v>
      </c>
      <c r="O1154" s="189">
        <f>N1154/M1154*100</f>
        <v>82.76363636363637</v>
      </c>
      <c r="P1154" s="182"/>
      <c r="Q1154" s="82">
        <f t="shared" si="96"/>
        <v>219421</v>
      </c>
      <c r="R1154" s="82">
        <f t="shared" si="97"/>
        <v>87175</v>
      </c>
      <c r="S1154" s="188">
        <f t="shared" si="98"/>
        <v>39.72956098094531</v>
      </c>
    </row>
    <row r="1155" spans="2:19" ht="12.75">
      <c r="B1155" s="94">
        <f t="shared" si="99"/>
        <v>609</v>
      </c>
      <c r="C1155" s="3"/>
      <c r="D1155" s="3"/>
      <c r="E1155" s="3"/>
      <c r="F1155" s="92" t="s">
        <v>78</v>
      </c>
      <c r="G1155" s="93">
        <v>610</v>
      </c>
      <c r="H1155" s="3" t="s">
        <v>134</v>
      </c>
      <c r="I1155" s="70">
        <v>35862</v>
      </c>
      <c r="J1155" s="70">
        <v>12900</v>
      </c>
      <c r="K1155" s="190">
        <f t="shared" si="95"/>
        <v>35.97122302158273</v>
      </c>
      <c r="L1155" s="177"/>
      <c r="M1155" s="70"/>
      <c r="N1155" s="70"/>
      <c r="O1155" s="189"/>
      <c r="P1155" s="177"/>
      <c r="Q1155" s="70">
        <f t="shared" si="96"/>
        <v>35862</v>
      </c>
      <c r="R1155" s="70">
        <f t="shared" si="97"/>
        <v>12900</v>
      </c>
      <c r="S1155" s="188">
        <f t="shared" si="98"/>
        <v>35.97122302158273</v>
      </c>
    </row>
    <row r="1156" spans="2:19" ht="12.75">
      <c r="B1156" s="94">
        <f t="shared" si="99"/>
        <v>610</v>
      </c>
      <c r="C1156" s="3"/>
      <c r="D1156" s="3"/>
      <c r="E1156" s="3"/>
      <c r="F1156" s="92" t="s">
        <v>78</v>
      </c>
      <c r="G1156" s="93">
        <v>620</v>
      </c>
      <c r="H1156" s="3" t="s">
        <v>128</v>
      </c>
      <c r="I1156" s="70">
        <v>13156</v>
      </c>
      <c r="J1156" s="70">
        <v>4508</v>
      </c>
      <c r="K1156" s="190">
        <f t="shared" si="95"/>
        <v>34.26573426573427</v>
      </c>
      <c r="L1156" s="177"/>
      <c r="M1156" s="70"/>
      <c r="N1156" s="70"/>
      <c r="O1156" s="189"/>
      <c r="P1156" s="177"/>
      <c r="Q1156" s="70">
        <f t="shared" si="96"/>
        <v>13156</v>
      </c>
      <c r="R1156" s="70">
        <f t="shared" si="97"/>
        <v>4508</v>
      </c>
      <c r="S1156" s="188">
        <f t="shared" si="98"/>
        <v>34.26573426573427</v>
      </c>
    </row>
    <row r="1157" spans="2:19" ht="12.75">
      <c r="B1157" s="94">
        <f t="shared" si="99"/>
        <v>611</v>
      </c>
      <c r="C1157" s="3"/>
      <c r="D1157" s="3"/>
      <c r="E1157" s="3"/>
      <c r="F1157" s="92" t="s">
        <v>78</v>
      </c>
      <c r="G1157" s="93">
        <v>630</v>
      </c>
      <c r="H1157" s="3" t="s">
        <v>125</v>
      </c>
      <c r="I1157" s="70">
        <f>SUM(I1158:I1161)</f>
        <v>55535</v>
      </c>
      <c r="J1157" s="70">
        <f>SUM(J1158:J1161)</f>
        <v>25143</v>
      </c>
      <c r="K1157" s="190">
        <f t="shared" si="95"/>
        <v>45.27415143603133</v>
      </c>
      <c r="L1157" s="177"/>
      <c r="M1157" s="70"/>
      <c r="N1157" s="70"/>
      <c r="O1157" s="189"/>
      <c r="P1157" s="177"/>
      <c r="Q1157" s="70">
        <f t="shared" si="96"/>
        <v>55535</v>
      </c>
      <c r="R1157" s="70">
        <f t="shared" si="97"/>
        <v>25143</v>
      </c>
      <c r="S1157" s="188">
        <f t="shared" si="98"/>
        <v>45.27415143603133</v>
      </c>
    </row>
    <row r="1158" spans="2:19" ht="12.75">
      <c r="B1158" s="94">
        <f t="shared" si="99"/>
        <v>612</v>
      </c>
      <c r="C1158" s="4"/>
      <c r="D1158" s="4"/>
      <c r="E1158" s="4"/>
      <c r="F1158" s="32" t="s">
        <v>78</v>
      </c>
      <c r="G1158" s="41">
        <v>632</v>
      </c>
      <c r="H1158" s="4" t="s">
        <v>138</v>
      </c>
      <c r="I1158" s="71">
        <v>5243</v>
      </c>
      <c r="J1158" s="71">
        <v>2842</v>
      </c>
      <c r="K1158" s="190">
        <f t="shared" si="95"/>
        <v>54.20560747663551</v>
      </c>
      <c r="L1158" s="178"/>
      <c r="M1158" s="71"/>
      <c r="N1158" s="71"/>
      <c r="O1158" s="189"/>
      <c r="P1158" s="178"/>
      <c r="Q1158" s="71">
        <f t="shared" si="96"/>
        <v>5243</v>
      </c>
      <c r="R1158" s="71">
        <f t="shared" si="97"/>
        <v>2842</v>
      </c>
      <c r="S1158" s="188">
        <f t="shared" si="98"/>
        <v>54.20560747663551</v>
      </c>
    </row>
    <row r="1159" spans="2:19" ht="12.75">
      <c r="B1159" s="94">
        <f t="shared" si="99"/>
        <v>613</v>
      </c>
      <c r="C1159" s="4"/>
      <c r="D1159" s="4"/>
      <c r="E1159" s="4"/>
      <c r="F1159" s="32" t="s">
        <v>78</v>
      </c>
      <c r="G1159" s="41">
        <v>633</v>
      </c>
      <c r="H1159" s="4" t="s">
        <v>129</v>
      </c>
      <c r="I1159" s="71">
        <v>47642</v>
      </c>
      <c r="J1159" s="71">
        <v>21513</v>
      </c>
      <c r="K1159" s="190">
        <f t="shared" si="95"/>
        <v>45.15553503211452</v>
      </c>
      <c r="L1159" s="178"/>
      <c r="M1159" s="71"/>
      <c r="N1159" s="71"/>
      <c r="O1159" s="189"/>
      <c r="P1159" s="178"/>
      <c r="Q1159" s="71">
        <f t="shared" si="96"/>
        <v>47642</v>
      </c>
      <c r="R1159" s="71">
        <f t="shared" si="97"/>
        <v>21513</v>
      </c>
      <c r="S1159" s="188">
        <f t="shared" si="98"/>
        <v>45.15553503211452</v>
      </c>
    </row>
    <row r="1160" spans="2:19" ht="12.75">
      <c r="B1160" s="94">
        <f t="shared" si="99"/>
        <v>614</v>
      </c>
      <c r="C1160" s="4"/>
      <c r="D1160" s="4"/>
      <c r="E1160" s="4"/>
      <c r="F1160" s="32" t="s">
        <v>78</v>
      </c>
      <c r="G1160" s="41">
        <v>635</v>
      </c>
      <c r="H1160" s="4" t="s">
        <v>136</v>
      </c>
      <c r="I1160" s="71">
        <v>1000</v>
      </c>
      <c r="J1160" s="71">
        <v>0</v>
      </c>
      <c r="K1160" s="190">
        <f t="shared" si="95"/>
        <v>0</v>
      </c>
      <c r="L1160" s="178"/>
      <c r="M1160" s="71"/>
      <c r="N1160" s="71"/>
      <c r="O1160" s="189"/>
      <c r="P1160" s="178"/>
      <c r="Q1160" s="71">
        <f t="shared" si="96"/>
        <v>1000</v>
      </c>
      <c r="R1160" s="71">
        <f t="shared" si="97"/>
        <v>0</v>
      </c>
      <c r="S1160" s="188">
        <f t="shared" si="98"/>
        <v>0</v>
      </c>
    </row>
    <row r="1161" spans="2:19" ht="12.75">
      <c r="B1161" s="94">
        <f t="shared" si="99"/>
        <v>615</v>
      </c>
      <c r="C1161" s="4"/>
      <c r="D1161" s="4"/>
      <c r="E1161" s="4"/>
      <c r="F1161" s="32" t="s">
        <v>78</v>
      </c>
      <c r="G1161" s="41">
        <v>637</v>
      </c>
      <c r="H1161" s="4" t="s">
        <v>126</v>
      </c>
      <c r="I1161" s="71">
        <v>1650</v>
      </c>
      <c r="J1161" s="71">
        <v>788</v>
      </c>
      <c r="K1161" s="190">
        <f t="shared" si="95"/>
        <v>47.75757575757576</v>
      </c>
      <c r="L1161" s="178"/>
      <c r="M1161" s="71"/>
      <c r="N1161" s="71"/>
      <c r="O1161" s="189"/>
      <c r="P1161" s="178"/>
      <c r="Q1161" s="71">
        <f t="shared" si="96"/>
        <v>1650</v>
      </c>
      <c r="R1161" s="71">
        <f t="shared" si="97"/>
        <v>788</v>
      </c>
      <c r="S1161" s="188">
        <f t="shared" si="98"/>
        <v>47.75757575757576</v>
      </c>
    </row>
    <row r="1162" spans="2:19" ht="12.75">
      <c r="B1162" s="94">
        <f t="shared" si="99"/>
        <v>616</v>
      </c>
      <c r="C1162" s="3"/>
      <c r="D1162" s="3"/>
      <c r="E1162" s="3"/>
      <c r="F1162" s="92" t="s">
        <v>78</v>
      </c>
      <c r="G1162" s="93">
        <v>640</v>
      </c>
      <c r="H1162" s="3" t="s">
        <v>132</v>
      </c>
      <c r="I1162" s="70">
        <v>143</v>
      </c>
      <c r="J1162" s="70">
        <v>0</v>
      </c>
      <c r="K1162" s="190">
        <f t="shared" si="95"/>
        <v>0</v>
      </c>
      <c r="L1162" s="177"/>
      <c r="M1162" s="70"/>
      <c r="N1162" s="70"/>
      <c r="O1162" s="189"/>
      <c r="P1162" s="177"/>
      <c r="Q1162" s="70">
        <f t="shared" si="96"/>
        <v>143</v>
      </c>
      <c r="R1162" s="70">
        <f t="shared" si="97"/>
        <v>0</v>
      </c>
      <c r="S1162" s="188">
        <f t="shared" si="98"/>
        <v>0</v>
      </c>
    </row>
    <row r="1163" spans="2:19" ht="12.75">
      <c r="B1163" s="94">
        <f t="shared" si="99"/>
        <v>617</v>
      </c>
      <c r="C1163" s="3"/>
      <c r="D1163" s="3"/>
      <c r="E1163" s="3"/>
      <c r="F1163" s="92" t="s">
        <v>46</v>
      </c>
      <c r="G1163" s="93">
        <v>610</v>
      </c>
      <c r="H1163" s="3" t="s">
        <v>134</v>
      </c>
      <c r="I1163" s="70">
        <v>38639</v>
      </c>
      <c r="J1163" s="70">
        <v>14344</v>
      </c>
      <c r="K1163" s="190">
        <f t="shared" si="95"/>
        <v>37.123113952224436</v>
      </c>
      <c r="L1163" s="177"/>
      <c r="M1163" s="70"/>
      <c r="N1163" s="70"/>
      <c r="O1163" s="189"/>
      <c r="P1163" s="177"/>
      <c r="Q1163" s="70">
        <f t="shared" si="96"/>
        <v>38639</v>
      </c>
      <c r="R1163" s="70">
        <f t="shared" si="97"/>
        <v>14344</v>
      </c>
      <c r="S1163" s="188">
        <f t="shared" si="98"/>
        <v>37.123113952224436</v>
      </c>
    </row>
    <row r="1164" spans="2:19" ht="12.75">
      <c r="B1164" s="94">
        <f t="shared" si="99"/>
        <v>618</v>
      </c>
      <c r="C1164" s="3"/>
      <c r="D1164" s="3"/>
      <c r="E1164" s="3"/>
      <c r="F1164" s="92" t="s">
        <v>46</v>
      </c>
      <c r="G1164" s="93">
        <v>620</v>
      </c>
      <c r="H1164" s="3" t="s">
        <v>128</v>
      </c>
      <c r="I1164" s="70">
        <v>13525</v>
      </c>
      <c r="J1164" s="70">
        <v>5013</v>
      </c>
      <c r="K1164" s="190">
        <f t="shared" si="95"/>
        <v>37.06469500924214</v>
      </c>
      <c r="L1164" s="177"/>
      <c r="M1164" s="70"/>
      <c r="N1164" s="70"/>
      <c r="O1164" s="189"/>
      <c r="P1164" s="177"/>
      <c r="Q1164" s="70">
        <f t="shared" si="96"/>
        <v>13525</v>
      </c>
      <c r="R1164" s="70">
        <f t="shared" si="97"/>
        <v>5013</v>
      </c>
      <c r="S1164" s="188">
        <f t="shared" si="98"/>
        <v>37.06469500924214</v>
      </c>
    </row>
    <row r="1165" spans="2:19" ht="12.75">
      <c r="B1165" s="94">
        <f t="shared" si="99"/>
        <v>619</v>
      </c>
      <c r="C1165" s="3"/>
      <c r="D1165" s="3"/>
      <c r="E1165" s="3"/>
      <c r="F1165" s="92" t="s">
        <v>46</v>
      </c>
      <c r="G1165" s="93">
        <v>630</v>
      </c>
      <c r="H1165" s="3" t="s">
        <v>125</v>
      </c>
      <c r="I1165" s="70">
        <f>SUM(I1166:I1169)</f>
        <v>55538</v>
      </c>
      <c r="J1165" s="70">
        <f>SUM(J1166:J1169)</f>
        <v>20377</v>
      </c>
      <c r="K1165" s="190">
        <f t="shared" si="95"/>
        <v>36.69019410133602</v>
      </c>
      <c r="L1165" s="177"/>
      <c r="M1165" s="70"/>
      <c r="N1165" s="70"/>
      <c r="O1165" s="189"/>
      <c r="P1165" s="177"/>
      <c r="Q1165" s="70">
        <f t="shared" si="96"/>
        <v>55538</v>
      </c>
      <c r="R1165" s="70">
        <f t="shared" si="97"/>
        <v>20377</v>
      </c>
      <c r="S1165" s="188">
        <f t="shared" si="98"/>
        <v>36.69019410133602</v>
      </c>
    </row>
    <row r="1166" spans="2:19" ht="12.75">
      <c r="B1166" s="94">
        <f t="shared" si="99"/>
        <v>620</v>
      </c>
      <c r="C1166" s="4"/>
      <c r="D1166" s="4"/>
      <c r="E1166" s="4"/>
      <c r="F1166" s="32" t="s">
        <v>46</v>
      </c>
      <c r="G1166" s="41">
        <v>632</v>
      </c>
      <c r="H1166" s="4" t="s">
        <v>138</v>
      </c>
      <c r="I1166" s="71">
        <v>5245</v>
      </c>
      <c r="J1166" s="71">
        <v>2842</v>
      </c>
      <c r="K1166" s="190">
        <f t="shared" si="95"/>
        <v>54.18493803622497</v>
      </c>
      <c r="L1166" s="178"/>
      <c r="M1166" s="71"/>
      <c r="N1166" s="71"/>
      <c r="O1166" s="189"/>
      <c r="P1166" s="178"/>
      <c r="Q1166" s="71">
        <f t="shared" si="96"/>
        <v>5245</v>
      </c>
      <c r="R1166" s="71">
        <f t="shared" si="97"/>
        <v>2842</v>
      </c>
      <c r="S1166" s="188">
        <f t="shared" si="98"/>
        <v>54.18493803622497</v>
      </c>
    </row>
    <row r="1167" spans="2:19" ht="12.75">
      <c r="B1167" s="94">
        <f t="shared" si="99"/>
        <v>621</v>
      </c>
      <c r="C1167" s="4"/>
      <c r="D1167" s="4"/>
      <c r="E1167" s="4"/>
      <c r="F1167" s="32" t="s">
        <v>46</v>
      </c>
      <c r="G1167" s="41">
        <v>633</v>
      </c>
      <c r="H1167" s="4" t="s">
        <v>129</v>
      </c>
      <c r="I1167" s="71">
        <v>47643</v>
      </c>
      <c r="J1167" s="71">
        <v>16591</v>
      </c>
      <c r="K1167" s="190">
        <f t="shared" si="95"/>
        <v>34.8235837373801</v>
      </c>
      <c r="L1167" s="178"/>
      <c r="M1167" s="71"/>
      <c r="N1167" s="71"/>
      <c r="O1167" s="189"/>
      <c r="P1167" s="178"/>
      <c r="Q1167" s="71">
        <f t="shared" si="96"/>
        <v>47643</v>
      </c>
      <c r="R1167" s="71">
        <f t="shared" si="97"/>
        <v>16591</v>
      </c>
      <c r="S1167" s="188">
        <f t="shared" si="98"/>
        <v>34.8235837373801</v>
      </c>
    </row>
    <row r="1168" spans="2:19" ht="12.75">
      <c r="B1168" s="94">
        <f t="shared" si="99"/>
        <v>622</v>
      </c>
      <c r="C1168" s="4"/>
      <c r="D1168" s="4"/>
      <c r="E1168" s="4"/>
      <c r="F1168" s="32" t="s">
        <v>46</v>
      </c>
      <c r="G1168" s="41">
        <v>635</v>
      </c>
      <c r="H1168" s="4" t="s">
        <v>136</v>
      </c>
      <c r="I1168" s="71">
        <v>1000</v>
      </c>
      <c r="J1168" s="71">
        <v>0</v>
      </c>
      <c r="K1168" s="190">
        <f t="shared" si="95"/>
        <v>0</v>
      </c>
      <c r="L1168" s="178"/>
      <c r="M1168" s="71"/>
      <c r="N1168" s="71"/>
      <c r="O1168" s="189"/>
      <c r="P1168" s="178"/>
      <c r="Q1168" s="71">
        <f t="shared" si="96"/>
        <v>1000</v>
      </c>
      <c r="R1168" s="71">
        <f t="shared" si="97"/>
        <v>0</v>
      </c>
      <c r="S1168" s="188">
        <f t="shared" si="98"/>
        <v>0</v>
      </c>
    </row>
    <row r="1169" spans="2:19" ht="12.75">
      <c r="B1169" s="94">
        <f t="shared" si="99"/>
        <v>623</v>
      </c>
      <c r="C1169" s="4"/>
      <c r="D1169" s="4"/>
      <c r="E1169" s="4"/>
      <c r="F1169" s="32" t="s">
        <v>46</v>
      </c>
      <c r="G1169" s="41">
        <v>637</v>
      </c>
      <c r="H1169" s="4" t="s">
        <v>126</v>
      </c>
      <c r="I1169" s="71">
        <v>1650</v>
      </c>
      <c r="J1169" s="71">
        <v>944</v>
      </c>
      <c r="K1169" s="190">
        <f t="shared" si="95"/>
        <v>57.21212121212121</v>
      </c>
      <c r="L1169" s="178"/>
      <c r="M1169" s="71"/>
      <c r="N1169" s="71"/>
      <c r="O1169" s="189"/>
      <c r="P1169" s="178"/>
      <c r="Q1169" s="71">
        <f t="shared" si="96"/>
        <v>1650</v>
      </c>
      <c r="R1169" s="71">
        <f t="shared" si="97"/>
        <v>944</v>
      </c>
      <c r="S1169" s="188">
        <f t="shared" si="98"/>
        <v>57.21212121212121</v>
      </c>
    </row>
    <row r="1170" spans="2:19" ht="12.75">
      <c r="B1170" s="94">
        <f t="shared" si="99"/>
        <v>624</v>
      </c>
      <c r="C1170" s="3"/>
      <c r="D1170" s="3"/>
      <c r="E1170" s="3"/>
      <c r="F1170" s="92" t="s">
        <v>46</v>
      </c>
      <c r="G1170" s="93">
        <v>640</v>
      </c>
      <c r="H1170" s="3" t="s">
        <v>132</v>
      </c>
      <c r="I1170" s="70">
        <v>1523</v>
      </c>
      <c r="J1170" s="70">
        <v>338</v>
      </c>
      <c r="K1170" s="190">
        <f t="shared" si="95"/>
        <v>22.193040052527905</v>
      </c>
      <c r="L1170" s="177"/>
      <c r="M1170" s="70"/>
      <c r="N1170" s="70"/>
      <c r="O1170" s="189"/>
      <c r="P1170" s="177"/>
      <c r="Q1170" s="70">
        <f t="shared" si="96"/>
        <v>1523</v>
      </c>
      <c r="R1170" s="70">
        <f t="shared" si="97"/>
        <v>338</v>
      </c>
      <c r="S1170" s="188">
        <f t="shared" si="98"/>
        <v>22.193040052527905</v>
      </c>
    </row>
    <row r="1171" spans="2:19" ht="12.75">
      <c r="B1171" s="94">
        <f t="shared" si="99"/>
        <v>625</v>
      </c>
      <c r="C1171" s="3"/>
      <c r="D1171" s="3"/>
      <c r="E1171" s="3"/>
      <c r="F1171" s="134" t="s">
        <v>46</v>
      </c>
      <c r="G1171" s="3">
        <v>710</v>
      </c>
      <c r="H1171" s="3" t="s">
        <v>180</v>
      </c>
      <c r="I1171" s="70"/>
      <c r="J1171" s="70"/>
      <c r="K1171" s="190"/>
      <c r="L1171" s="177"/>
      <c r="M1171" s="70">
        <f>M1172</f>
        <v>5500</v>
      </c>
      <c r="N1171" s="70">
        <f>N1172</f>
        <v>4552</v>
      </c>
      <c r="O1171" s="189">
        <f>N1171/M1171*100</f>
        <v>82.76363636363637</v>
      </c>
      <c r="P1171" s="177"/>
      <c r="Q1171" s="70">
        <f aca="true" t="shared" si="100" ref="Q1171:R1173">I1171+M1171</f>
        <v>5500</v>
      </c>
      <c r="R1171" s="70">
        <f t="shared" si="100"/>
        <v>4552</v>
      </c>
      <c r="S1171" s="188">
        <f t="shared" si="98"/>
        <v>82.76363636363637</v>
      </c>
    </row>
    <row r="1172" spans="2:19" ht="12.75">
      <c r="B1172" s="94">
        <f t="shared" si="99"/>
        <v>626</v>
      </c>
      <c r="C1172" s="3"/>
      <c r="D1172" s="3"/>
      <c r="E1172" s="3"/>
      <c r="F1172" s="135" t="s">
        <v>46</v>
      </c>
      <c r="G1172" s="4">
        <v>713</v>
      </c>
      <c r="H1172" s="4" t="s">
        <v>228</v>
      </c>
      <c r="I1172" s="70"/>
      <c r="J1172" s="70"/>
      <c r="K1172" s="190"/>
      <c r="L1172" s="177"/>
      <c r="M1172" s="70">
        <f>M1173</f>
        <v>5500</v>
      </c>
      <c r="N1172" s="70">
        <f>N1173</f>
        <v>4552</v>
      </c>
      <c r="O1172" s="189">
        <f>N1172/M1172*100</f>
        <v>82.76363636363637</v>
      </c>
      <c r="P1172" s="177"/>
      <c r="Q1172" s="70">
        <f t="shared" si="100"/>
        <v>5500</v>
      </c>
      <c r="R1172" s="70">
        <f t="shared" si="100"/>
        <v>4552</v>
      </c>
      <c r="S1172" s="188">
        <f t="shared" si="98"/>
        <v>82.76363636363637</v>
      </c>
    </row>
    <row r="1173" spans="2:19" ht="12.75">
      <c r="B1173" s="94">
        <f t="shared" si="99"/>
        <v>627</v>
      </c>
      <c r="C1173" s="3"/>
      <c r="D1173" s="3"/>
      <c r="E1173" s="3"/>
      <c r="F1173" s="134"/>
      <c r="G1173" s="3"/>
      <c r="H1173" s="136" t="s">
        <v>521</v>
      </c>
      <c r="I1173" s="70"/>
      <c r="J1173" s="70"/>
      <c r="K1173" s="190"/>
      <c r="L1173" s="177"/>
      <c r="M1173" s="137">
        <v>5500</v>
      </c>
      <c r="N1173" s="137">
        <v>4552</v>
      </c>
      <c r="O1173" s="189">
        <f>N1173/M1173*100</f>
        <v>82.76363636363637</v>
      </c>
      <c r="P1173" s="185"/>
      <c r="Q1173" s="70">
        <f t="shared" si="100"/>
        <v>5500</v>
      </c>
      <c r="R1173" s="70">
        <f t="shared" si="100"/>
        <v>4552</v>
      </c>
      <c r="S1173" s="188">
        <f t="shared" si="98"/>
        <v>82.76363636363637</v>
      </c>
    </row>
    <row r="1174" spans="2:21" ht="15">
      <c r="B1174" s="94">
        <f t="shared" si="99"/>
        <v>628</v>
      </c>
      <c r="C1174" s="12"/>
      <c r="D1174" s="12"/>
      <c r="E1174" s="12">
        <v>7</v>
      </c>
      <c r="F1174" s="35"/>
      <c r="G1174" s="43"/>
      <c r="H1174" s="12" t="s">
        <v>11</v>
      </c>
      <c r="I1174" s="82">
        <f>I1175+I1176+I1177+I1182+I1183+I1184+I1185+I1190</f>
        <v>282006</v>
      </c>
      <c r="J1174" s="82">
        <f>J1175+J1176+J1177+J1182+J1183+J1184+J1185+J1190</f>
        <v>111532</v>
      </c>
      <c r="K1174" s="190">
        <f t="shared" si="95"/>
        <v>39.54951313092629</v>
      </c>
      <c r="L1174" s="182"/>
      <c r="M1174" s="82"/>
      <c r="N1174" s="82"/>
      <c r="O1174" s="189"/>
      <c r="P1174" s="182"/>
      <c r="Q1174" s="82">
        <f t="shared" si="96"/>
        <v>282006</v>
      </c>
      <c r="R1174" s="82">
        <f aca="true" t="shared" si="101" ref="R1174:R1237">N1174+J1174</f>
        <v>111532</v>
      </c>
      <c r="S1174" s="188">
        <f t="shared" si="98"/>
        <v>39.54951313092629</v>
      </c>
      <c r="U1174" s="16">
        <f>J1174-111533</f>
        <v>-1</v>
      </c>
    </row>
    <row r="1175" spans="2:19" ht="12.75">
      <c r="B1175" s="94">
        <f t="shared" si="99"/>
        <v>629</v>
      </c>
      <c r="C1175" s="3"/>
      <c r="D1175" s="3"/>
      <c r="E1175" s="3"/>
      <c r="F1175" s="92" t="s">
        <v>78</v>
      </c>
      <c r="G1175" s="93">
        <v>610</v>
      </c>
      <c r="H1175" s="3" t="s">
        <v>134</v>
      </c>
      <c r="I1175" s="70">
        <v>54380</v>
      </c>
      <c r="J1175" s="70">
        <v>21275</v>
      </c>
      <c r="K1175" s="190">
        <f t="shared" si="95"/>
        <v>39.122839279146746</v>
      </c>
      <c r="L1175" s="177"/>
      <c r="M1175" s="70"/>
      <c r="N1175" s="70"/>
      <c r="O1175" s="189"/>
      <c r="P1175" s="177"/>
      <c r="Q1175" s="70">
        <f t="shared" si="96"/>
        <v>54380</v>
      </c>
      <c r="R1175" s="70">
        <f t="shared" si="101"/>
        <v>21275</v>
      </c>
      <c r="S1175" s="188">
        <f t="shared" si="98"/>
        <v>39.122839279146746</v>
      </c>
    </row>
    <row r="1176" spans="2:19" ht="12.75">
      <c r="B1176" s="94">
        <f t="shared" si="99"/>
        <v>630</v>
      </c>
      <c r="C1176" s="3"/>
      <c r="D1176" s="3"/>
      <c r="E1176" s="3"/>
      <c r="F1176" s="92" t="s">
        <v>78</v>
      </c>
      <c r="G1176" s="93">
        <v>620</v>
      </c>
      <c r="H1176" s="3" t="s">
        <v>128</v>
      </c>
      <c r="I1176" s="70">
        <v>20177</v>
      </c>
      <c r="J1176" s="70">
        <v>6447</v>
      </c>
      <c r="K1176" s="190">
        <f t="shared" si="95"/>
        <v>31.95222282797244</v>
      </c>
      <c r="L1176" s="177"/>
      <c r="M1176" s="70"/>
      <c r="N1176" s="70"/>
      <c r="O1176" s="189"/>
      <c r="P1176" s="177"/>
      <c r="Q1176" s="70">
        <f t="shared" si="96"/>
        <v>20177</v>
      </c>
      <c r="R1176" s="70">
        <f t="shared" si="101"/>
        <v>6447</v>
      </c>
      <c r="S1176" s="188">
        <f t="shared" si="98"/>
        <v>31.95222282797244</v>
      </c>
    </row>
    <row r="1177" spans="2:19" ht="12.75">
      <c r="B1177" s="94">
        <f t="shared" si="99"/>
        <v>631</v>
      </c>
      <c r="C1177" s="3"/>
      <c r="D1177" s="3"/>
      <c r="E1177" s="3"/>
      <c r="F1177" s="92" t="s">
        <v>78</v>
      </c>
      <c r="G1177" s="93">
        <v>630</v>
      </c>
      <c r="H1177" s="3" t="s">
        <v>125</v>
      </c>
      <c r="I1177" s="70">
        <f>SUM(I1178:I1181)</f>
        <v>102628</v>
      </c>
      <c r="J1177" s="70">
        <f>SUM(J1178:J1181)</f>
        <v>39745</v>
      </c>
      <c r="K1177" s="190">
        <f t="shared" si="95"/>
        <v>38.727247924543015</v>
      </c>
      <c r="L1177" s="177"/>
      <c r="M1177" s="70"/>
      <c r="N1177" s="70"/>
      <c r="O1177" s="189"/>
      <c r="P1177" s="177"/>
      <c r="Q1177" s="70">
        <f t="shared" si="96"/>
        <v>102628</v>
      </c>
      <c r="R1177" s="70">
        <f t="shared" si="101"/>
        <v>39745</v>
      </c>
      <c r="S1177" s="188">
        <f t="shared" si="98"/>
        <v>38.727247924543015</v>
      </c>
    </row>
    <row r="1178" spans="2:19" ht="12.75">
      <c r="B1178" s="94">
        <f t="shared" si="99"/>
        <v>632</v>
      </c>
      <c r="C1178" s="4"/>
      <c r="D1178" s="4"/>
      <c r="E1178" s="4"/>
      <c r="F1178" s="32" t="s">
        <v>78</v>
      </c>
      <c r="G1178" s="41">
        <v>632</v>
      </c>
      <c r="H1178" s="4" t="s">
        <v>138</v>
      </c>
      <c r="I1178" s="71">
        <v>1332</v>
      </c>
      <c r="J1178" s="71">
        <v>265</v>
      </c>
      <c r="K1178" s="190">
        <f t="shared" si="95"/>
        <v>19.894894894894897</v>
      </c>
      <c r="L1178" s="178"/>
      <c r="M1178" s="71"/>
      <c r="N1178" s="71"/>
      <c r="O1178" s="189"/>
      <c r="P1178" s="178"/>
      <c r="Q1178" s="71">
        <f t="shared" si="96"/>
        <v>1332</v>
      </c>
      <c r="R1178" s="71">
        <f t="shared" si="101"/>
        <v>265</v>
      </c>
      <c r="S1178" s="188">
        <f t="shared" si="98"/>
        <v>19.894894894894897</v>
      </c>
    </row>
    <row r="1179" spans="2:19" ht="12.75">
      <c r="B1179" s="94">
        <f t="shared" si="99"/>
        <v>633</v>
      </c>
      <c r="C1179" s="4"/>
      <c r="D1179" s="4"/>
      <c r="E1179" s="4"/>
      <c r="F1179" s="32" t="s">
        <v>78</v>
      </c>
      <c r="G1179" s="41">
        <v>633</v>
      </c>
      <c r="H1179" s="4" t="s">
        <v>129</v>
      </c>
      <c r="I1179" s="71">
        <v>94000</v>
      </c>
      <c r="J1179" s="71">
        <v>38875</v>
      </c>
      <c r="K1179" s="190">
        <f t="shared" si="95"/>
        <v>41.3563829787234</v>
      </c>
      <c r="L1179" s="178"/>
      <c r="M1179" s="71"/>
      <c r="N1179" s="71"/>
      <c r="O1179" s="189"/>
      <c r="P1179" s="178"/>
      <c r="Q1179" s="71">
        <f t="shared" si="96"/>
        <v>94000</v>
      </c>
      <c r="R1179" s="71">
        <f t="shared" si="101"/>
        <v>38875</v>
      </c>
      <c r="S1179" s="188">
        <f t="shared" si="98"/>
        <v>41.3563829787234</v>
      </c>
    </row>
    <row r="1180" spans="2:19" ht="12.75">
      <c r="B1180" s="94">
        <f t="shared" si="99"/>
        <v>634</v>
      </c>
      <c r="C1180" s="4"/>
      <c r="D1180" s="4"/>
      <c r="E1180" s="4"/>
      <c r="F1180" s="32" t="s">
        <v>78</v>
      </c>
      <c r="G1180" s="41">
        <v>635</v>
      </c>
      <c r="H1180" s="4" t="s">
        <v>136</v>
      </c>
      <c r="I1180" s="71">
        <v>1645</v>
      </c>
      <c r="J1180" s="71">
        <v>0</v>
      </c>
      <c r="K1180" s="190">
        <f t="shared" si="95"/>
        <v>0</v>
      </c>
      <c r="L1180" s="178"/>
      <c r="M1180" s="71"/>
      <c r="N1180" s="71"/>
      <c r="O1180" s="189"/>
      <c r="P1180" s="178"/>
      <c r="Q1180" s="71">
        <f t="shared" si="96"/>
        <v>1645</v>
      </c>
      <c r="R1180" s="71">
        <f t="shared" si="101"/>
        <v>0</v>
      </c>
      <c r="S1180" s="188">
        <f t="shared" si="98"/>
        <v>0</v>
      </c>
    </row>
    <row r="1181" spans="2:19" ht="12.75">
      <c r="B1181" s="94">
        <f t="shared" si="99"/>
        <v>635</v>
      </c>
      <c r="C1181" s="4"/>
      <c r="D1181" s="4"/>
      <c r="E1181" s="4"/>
      <c r="F1181" s="32" t="s">
        <v>78</v>
      </c>
      <c r="G1181" s="41">
        <v>637</v>
      </c>
      <c r="H1181" s="4" t="s">
        <v>126</v>
      </c>
      <c r="I1181" s="71">
        <v>5651</v>
      </c>
      <c r="J1181" s="71">
        <v>605</v>
      </c>
      <c r="K1181" s="190">
        <f t="shared" si="95"/>
        <v>10.706069722173067</v>
      </c>
      <c r="L1181" s="178"/>
      <c r="M1181" s="71"/>
      <c r="N1181" s="71"/>
      <c r="O1181" s="189"/>
      <c r="P1181" s="178"/>
      <c r="Q1181" s="71">
        <f t="shared" si="96"/>
        <v>5651</v>
      </c>
      <c r="R1181" s="71">
        <f t="shared" si="101"/>
        <v>605</v>
      </c>
      <c r="S1181" s="188">
        <f t="shared" si="98"/>
        <v>10.706069722173067</v>
      </c>
    </row>
    <row r="1182" spans="2:19" ht="12.75">
      <c r="B1182" s="94">
        <f t="shared" si="99"/>
        <v>636</v>
      </c>
      <c r="C1182" s="3"/>
      <c r="D1182" s="3"/>
      <c r="E1182" s="3"/>
      <c r="F1182" s="92" t="s">
        <v>78</v>
      </c>
      <c r="G1182" s="93">
        <v>640</v>
      </c>
      <c r="H1182" s="3" t="s">
        <v>132</v>
      </c>
      <c r="I1182" s="70">
        <v>758</v>
      </c>
      <c r="J1182" s="70">
        <v>0</v>
      </c>
      <c r="K1182" s="190">
        <f t="shared" si="95"/>
        <v>0</v>
      </c>
      <c r="L1182" s="177"/>
      <c r="M1182" s="70"/>
      <c r="N1182" s="70"/>
      <c r="O1182" s="189"/>
      <c r="P1182" s="177"/>
      <c r="Q1182" s="70">
        <f t="shared" si="96"/>
        <v>758</v>
      </c>
      <c r="R1182" s="70">
        <f t="shared" si="101"/>
        <v>0</v>
      </c>
      <c r="S1182" s="188">
        <f t="shared" si="98"/>
        <v>0</v>
      </c>
    </row>
    <row r="1183" spans="2:19" ht="12.75">
      <c r="B1183" s="94">
        <f t="shared" si="99"/>
        <v>637</v>
      </c>
      <c r="C1183" s="3"/>
      <c r="D1183" s="3"/>
      <c r="E1183" s="3"/>
      <c r="F1183" s="92" t="s">
        <v>46</v>
      </c>
      <c r="G1183" s="93">
        <v>610</v>
      </c>
      <c r="H1183" s="3" t="s">
        <v>134</v>
      </c>
      <c r="I1183" s="70">
        <v>66465</v>
      </c>
      <c r="J1183" s="70">
        <v>31005</v>
      </c>
      <c r="K1183" s="190">
        <f t="shared" si="95"/>
        <v>46.64861205145565</v>
      </c>
      <c r="L1183" s="177"/>
      <c r="M1183" s="70"/>
      <c r="N1183" s="70"/>
      <c r="O1183" s="189"/>
      <c r="P1183" s="177"/>
      <c r="Q1183" s="70">
        <f t="shared" si="96"/>
        <v>66465</v>
      </c>
      <c r="R1183" s="70">
        <f t="shared" si="101"/>
        <v>31005</v>
      </c>
      <c r="S1183" s="188">
        <f t="shared" si="98"/>
        <v>46.64861205145565</v>
      </c>
    </row>
    <row r="1184" spans="2:19" ht="12.75">
      <c r="B1184" s="94">
        <f t="shared" si="99"/>
        <v>638</v>
      </c>
      <c r="C1184" s="3"/>
      <c r="D1184" s="3"/>
      <c r="E1184" s="3"/>
      <c r="F1184" s="92" t="s">
        <v>46</v>
      </c>
      <c r="G1184" s="93">
        <v>620</v>
      </c>
      <c r="H1184" s="3" t="s">
        <v>128</v>
      </c>
      <c r="I1184" s="70">
        <v>24662</v>
      </c>
      <c r="J1184" s="70">
        <v>11538</v>
      </c>
      <c r="K1184" s="190">
        <f t="shared" si="95"/>
        <v>46.78452680236801</v>
      </c>
      <c r="L1184" s="177"/>
      <c r="M1184" s="70"/>
      <c r="N1184" s="70"/>
      <c r="O1184" s="189"/>
      <c r="P1184" s="177"/>
      <c r="Q1184" s="70">
        <f t="shared" si="96"/>
        <v>24662</v>
      </c>
      <c r="R1184" s="70">
        <f t="shared" si="101"/>
        <v>11538</v>
      </c>
      <c r="S1184" s="188">
        <f t="shared" si="98"/>
        <v>46.78452680236801</v>
      </c>
    </row>
    <row r="1185" spans="2:19" ht="12.75">
      <c r="B1185" s="94">
        <f t="shared" si="99"/>
        <v>639</v>
      </c>
      <c r="C1185" s="3"/>
      <c r="D1185" s="3"/>
      <c r="E1185" s="3"/>
      <c r="F1185" s="92" t="s">
        <v>46</v>
      </c>
      <c r="G1185" s="93">
        <v>630</v>
      </c>
      <c r="H1185" s="3" t="s">
        <v>125</v>
      </c>
      <c r="I1185" s="70">
        <f>SUM(I1186:I1189)</f>
        <v>11063</v>
      </c>
      <c r="J1185" s="70">
        <f>SUM(J1186:J1189)</f>
        <v>1522</v>
      </c>
      <c r="K1185" s="190">
        <f t="shared" si="95"/>
        <v>13.757570279309409</v>
      </c>
      <c r="L1185" s="177"/>
      <c r="M1185" s="70"/>
      <c r="N1185" s="70"/>
      <c r="O1185" s="189"/>
      <c r="P1185" s="177"/>
      <c r="Q1185" s="70">
        <f t="shared" si="96"/>
        <v>11063</v>
      </c>
      <c r="R1185" s="70">
        <f t="shared" si="101"/>
        <v>1522</v>
      </c>
      <c r="S1185" s="188">
        <f t="shared" si="98"/>
        <v>13.757570279309409</v>
      </c>
    </row>
    <row r="1186" spans="2:19" ht="12.75">
      <c r="B1186" s="94">
        <f t="shared" si="99"/>
        <v>640</v>
      </c>
      <c r="C1186" s="4"/>
      <c r="D1186" s="4"/>
      <c r="E1186" s="4"/>
      <c r="F1186" s="32" t="s">
        <v>46</v>
      </c>
      <c r="G1186" s="41">
        <v>632</v>
      </c>
      <c r="H1186" s="4" t="s">
        <v>138</v>
      </c>
      <c r="I1186" s="71">
        <v>1796</v>
      </c>
      <c r="J1186" s="71">
        <v>289</v>
      </c>
      <c r="K1186" s="190">
        <f t="shared" si="95"/>
        <v>16.0913140311804</v>
      </c>
      <c r="L1186" s="178"/>
      <c r="M1186" s="71"/>
      <c r="N1186" s="71"/>
      <c r="O1186" s="189"/>
      <c r="P1186" s="178"/>
      <c r="Q1186" s="71">
        <f t="shared" si="96"/>
        <v>1796</v>
      </c>
      <c r="R1186" s="71">
        <f t="shared" si="101"/>
        <v>289</v>
      </c>
      <c r="S1186" s="188">
        <f t="shared" si="98"/>
        <v>16.0913140311804</v>
      </c>
    </row>
    <row r="1187" spans="2:19" ht="12.75">
      <c r="B1187" s="94">
        <f t="shared" si="99"/>
        <v>641</v>
      </c>
      <c r="C1187" s="4"/>
      <c r="D1187" s="4"/>
      <c r="E1187" s="4"/>
      <c r="F1187" s="32" t="s">
        <v>46</v>
      </c>
      <c r="G1187" s="41">
        <v>633</v>
      </c>
      <c r="H1187" s="4" t="s">
        <v>129</v>
      </c>
      <c r="I1187" s="71">
        <v>2912</v>
      </c>
      <c r="J1187" s="71">
        <v>649</v>
      </c>
      <c r="K1187" s="190">
        <f t="shared" si="95"/>
        <v>22.287087912087912</v>
      </c>
      <c r="L1187" s="178"/>
      <c r="M1187" s="71"/>
      <c r="N1187" s="71"/>
      <c r="O1187" s="189"/>
      <c r="P1187" s="178"/>
      <c r="Q1187" s="71">
        <f t="shared" si="96"/>
        <v>2912</v>
      </c>
      <c r="R1187" s="71">
        <f t="shared" si="101"/>
        <v>649</v>
      </c>
      <c r="S1187" s="188">
        <f t="shared" si="98"/>
        <v>22.287087912087912</v>
      </c>
    </row>
    <row r="1188" spans="2:19" ht="12.75">
      <c r="B1188" s="94">
        <f t="shared" si="99"/>
        <v>642</v>
      </c>
      <c r="C1188" s="4"/>
      <c r="D1188" s="4"/>
      <c r="E1188" s="4"/>
      <c r="F1188" s="32" t="s">
        <v>46</v>
      </c>
      <c r="G1188" s="41">
        <v>635</v>
      </c>
      <c r="H1188" s="4" t="s">
        <v>136</v>
      </c>
      <c r="I1188" s="71">
        <v>1855</v>
      </c>
      <c r="J1188" s="71">
        <v>0</v>
      </c>
      <c r="K1188" s="190">
        <f t="shared" si="95"/>
        <v>0</v>
      </c>
      <c r="L1188" s="178"/>
      <c r="M1188" s="71"/>
      <c r="N1188" s="71"/>
      <c r="O1188" s="189"/>
      <c r="P1188" s="178"/>
      <c r="Q1188" s="71">
        <f t="shared" si="96"/>
        <v>1855</v>
      </c>
      <c r="R1188" s="71">
        <f t="shared" si="101"/>
        <v>0</v>
      </c>
      <c r="S1188" s="188">
        <f t="shared" si="98"/>
        <v>0</v>
      </c>
    </row>
    <row r="1189" spans="2:19" ht="12.75">
      <c r="B1189" s="94">
        <f t="shared" si="99"/>
        <v>643</v>
      </c>
      <c r="C1189" s="4"/>
      <c r="D1189" s="4"/>
      <c r="E1189" s="4"/>
      <c r="F1189" s="32" t="s">
        <v>46</v>
      </c>
      <c r="G1189" s="41">
        <v>637</v>
      </c>
      <c r="H1189" s="4" t="s">
        <v>126</v>
      </c>
      <c r="I1189" s="71">
        <v>4500</v>
      </c>
      <c r="J1189" s="71">
        <v>584</v>
      </c>
      <c r="K1189" s="190">
        <f t="shared" si="95"/>
        <v>12.977777777777778</v>
      </c>
      <c r="L1189" s="178"/>
      <c r="M1189" s="71"/>
      <c r="N1189" s="71"/>
      <c r="O1189" s="189"/>
      <c r="P1189" s="178"/>
      <c r="Q1189" s="71">
        <f t="shared" si="96"/>
        <v>4500</v>
      </c>
      <c r="R1189" s="71">
        <f t="shared" si="101"/>
        <v>584</v>
      </c>
      <c r="S1189" s="188">
        <f t="shared" si="98"/>
        <v>12.977777777777778</v>
      </c>
    </row>
    <row r="1190" spans="2:19" ht="12.75">
      <c r="B1190" s="94">
        <f t="shared" si="99"/>
        <v>644</v>
      </c>
      <c r="C1190" s="3"/>
      <c r="D1190" s="3"/>
      <c r="E1190" s="3"/>
      <c r="F1190" s="92" t="s">
        <v>46</v>
      </c>
      <c r="G1190" s="93">
        <v>640</v>
      </c>
      <c r="H1190" s="3" t="s">
        <v>132</v>
      </c>
      <c r="I1190" s="70">
        <v>1873</v>
      </c>
      <c r="J1190" s="70">
        <v>0</v>
      </c>
      <c r="K1190" s="190">
        <f t="shared" si="95"/>
        <v>0</v>
      </c>
      <c r="L1190" s="177"/>
      <c r="M1190" s="70"/>
      <c r="N1190" s="70"/>
      <c r="O1190" s="189"/>
      <c r="P1190" s="177"/>
      <c r="Q1190" s="70">
        <f t="shared" si="96"/>
        <v>1873</v>
      </c>
      <c r="R1190" s="70">
        <f t="shared" si="101"/>
        <v>0</v>
      </c>
      <c r="S1190" s="188">
        <f t="shared" si="98"/>
        <v>0</v>
      </c>
    </row>
    <row r="1191" spans="2:19" ht="15">
      <c r="B1191" s="94">
        <f t="shared" si="99"/>
        <v>645</v>
      </c>
      <c r="C1191" s="12"/>
      <c r="D1191" s="12"/>
      <c r="E1191" s="12">
        <v>8</v>
      </c>
      <c r="F1191" s="35"/>
      <c r="G1191" s="43"/>
      <c r="H1191" s="12" t="s">
        <v>8</v>
      </c>
      <c r="I1191" s="82">
        <f>I1192+I1194</f>
        <v>171700</v>
      </c>
      <c r="J1191" s="82">
        <f>J1192+J1194</f>
        <v>118286</v>
      </c>
      <c r="K1191" s="190">
        <f aca="true" t="shared" si="102" ref="K1191:K1254">J1191/I1191*100</f>
        <v>68.89108910891089</v>
      </c>
      <c r="L1191" s="182"/>
      <c r="M1191" s="82"/>
      <c r="N1191" s="82"/>
      <c r="O1191" s="189"/>
      <c r="P1191" s="182"/>
      <c r="Q1191" s="82">
        <f aca="true" t="shared" si="103" ref="Q1191:Q1254">M1191+I1191</f>
        <v>171700</v>
      </c>
      <c r="R1191" s="82">
        <f t="shared" si="101"/>
        <v>118286</v>
      </c>
      <c r="S1191" s="188">
        <f aca="true" t="shared" si="104" ref="S1191:S1254">R1191/Q1191*100</f>
        <v>68.89108910891089</v>
      </c>
    </row>
    <row r="1192" spans="2:19" ht="12.75">
      <c r="B1192" s="94">
        <f t="shared" si="99"/>
        <v>646</v>
      </c>
      <c r="C1192" s="3"/>
      <c r="D1192" s="3"/>
      <c r="E1192" s="3"/>
      <c r="F1192" s="92" t="s">
        <v>78</v>
      </c>
      <c r="G1192" s="93">
        <v>630</v>
      </c>
      <c r="H1192" s="3" t="s">
        <v>125</v>
      </c>
      <c r="I1192" s="70">
        <f>I1193</f>
        <v>68700</v>
      </c>
      <c r="J1192" s="70">
        <f>J1193</f>
        <v>43215</v>
      </c>
      <c r="K1192" s="190">
        <f t="shared" si="102"/>
        <v>62.90393013100437</v>
      </c>
      <c r="L1192" s="177"/>
      <c r="M1192" s="70"/>
      <c r="N1192" s="70"/>
      <c r="O1192" s="189"/>
      <c r="P1192" s="177"/>
      <c r="Q1192" s="70">
        <f t="shared" si="103"/>
        <v>68700</v>
      </c>
      <c r="R1192" s="70">
        <f t="shared" si="101"/>
        <v>43215</v>
      </c>
      <c r="S1192" s="188">
        <f t="shared" si="104"/>
        <v>62.90393013100437</v>
      </c>
    </row>
    <row r="1193" spans="2:19" ht="12.75">
      <c r="B1193" s="94">
        <f aca="true" t="shared" si="105" ref="B1193:B1256">B1192+1</f>
        <v>647</v>
      </c>
      <c r="C1193" s="4"/>
      <c r="D1193" s="4"/>
      <c r="E1193" s="4"/>
      <c r="F1193" s="32" t="s">
        <v>78</v>
      </c>
      <c r="G1193" s="41">
        <v>637</v>
      </c>
      <c r="H1193" s="4" t="s">
        <v>126</v>
      </c>
      <c r="I1193" s="71">
        <v>68700</v>
      </c>
      <c r="J1193" s="71">
        <v>43215</v>
      </c>
      <c r="K1193" s="190">
        <f t="shared" si="102"/>
        <v>62.90393013100437</v>
      </c>
      <c r="L1193" s="178"/>
      <c r="M1193" s="71"/>
      <c r="N1193" s="71"/>
      <c r="O1193" s="189"/>
      <c r="P1193" s="178"/>
      <c r="Q1193" s="71">
        <f t="shared" si="103"/>
        <v>68700</v>
      </c>
      <c r="R1193" s="71">
        <f t="shared" si="101"/>
        <v>43215</v>
      </c>
      <c r="S1193" s="188">
        <f t="shared" si="104"/>
        <v>62.90393013100437</v>
      </c>
    </row>
    <row r="1194" spans="2:19" ht="12.75">
      <c r="B1194" s="94">
        <f t="shared" si="105"/>
        <v>648</v>
      </c>
      <c r="C1194" s="3"/>
      <c r="D1194" s="3"/>
      <c r="E1194" s="3"/>
      <c r="F1194" s="92" t="s">
        <v>46</v>
      </c>
      <c r="G1194" s="93">
        <v>630</v>
      </c>
      <c r="H1194" s="3" t="s">
        <v>125</v>
      </c>
      <c r="I1194" s="70">
        <f>I1195</f>
        <v>103000</v>
      </c>
      <c r="J1194" s="70">
        <f>J1195</f>
        <v>75071</v>
      </c>
      <c r="K1194" s="190">
        <f t="shared" si="102"/>
        <v>72.88446601941747</v>
      </c>
      <c r="L1194" s="177"/>
      <c r="M1194" s="70"/>
      <c r="N1194" s="70"/>
      <c r="O1194" s="189"/>
      <c r="P1194" s="177"/>
      <c r="Q1194" s="70">
        <f t="shared" si="103"/>
        <v>103000</v>
      </c>
      <c r="R1194" s="70">
        <f t="shared" si="101"/>
        <v>75071</v>
      </c>
      <c r="S1194" s="188">
        <f t="shared" si="104"/>
        <v>72.88446601941747</v>
      </c>
    </row>
    <row r="1195" spans="2:19" ht="12.75">
      <c r="B1195" s="94">
        <f t="shared" si="105"/>
        <v>649</v>
      </c>
      <c r="C1195" s="4"/>
      <c r="D1195" s="4"/>
      <c r="E1195" s="4"/>
      <c r="F1195" s="32" t="s">
        <v>46</v>
      </c>
      <c r="G1195" s="41">
        <v>637</v>
      </c>
      <c r="H1195" s="4" t="s">
        <v>126</v>
      </c>
      <c r="I1195" s="71">
        <v>103000</v>
      </c>
      <c r="J1195" s="71">
        <f>42056+33015</f>
        <v>75071</v>
      </c>
      <c r="K1195" s="190">
        <f t="shared" si="102"/>
        <v>72.88446601941747</v>
      </c>
      <c r="L1195" s="178"/>
      <c r="M1195" s="71"/>
      <c r="N1195" s="71"/>
      <c r="O1195" s="189"/>
      <c r="P1195" s="178"/>
      <c r="Q1195" s="71">
        <f t="shared" si="103"/>
        <v>103000</v>
      </c>
      <c r="R1195" s="71">
        <f t="shared" si="101"/>
        <v>75071</v>
      </c>
      <c r="S1195" s="188">
        <f t="shared" si="104"/>
        <v>72.88446601941747</v>
      </c>
    </row>
    <row r="1196" spans="2:19" ht="15">
      <c r="B1196" s="94">
        <f t="shared" si="105"/>
        <v>650</v>
      </c>
      <c r="C1196" s="12"/>
      <c r="D1196" s="12"/>
      <c r="E1196" s="12">
        <v>9</v>
      </c>
      <c r="F1196" s="35"/>
      <c r="G1196" s="43"/>
      <c r="H1196" s="12" t="s">
        <v>6</v>
      </c>
      <c r="I1196" s="82">
        <f>I1197+I1198+I1199+I1204+I1205+I1206+I1207+I1212</f>
        <v>233370</v>
      </c>
      <c r="J1196" s="82">
        <f>J1197+J1198+J1199+J1204+J1205+J1206+J1207+J1212</f>
        <v>78233</v>
      </c>
      <c r="K1196" s="190">
        <f t="shared" si="102"/>
        <v>33.52316064618417</v>
      </c>
      <c r="L1196" s="182"/>
      <c r="M1196" s="82"/>
      <c r="N1196" s="82"/>
      <c r="O1196" s="189"/>
      <c r="P1196" s="182"/>
      <c r="Q1196" s="82">
        <f t="shared" si="103"/>
        <v>233370</v>
      </c>
      <c r="R1196" s="82">
        <f t="shared" si="101"/>
        <v>78233</v>
      </c>
      <c r="S1196" s="188">
        <f t="shared" si="104"/>
        <v>33.52316064618417</v>
      </c>
    </row>
    <row r="1197" spans="2:19" ht="12.75">
      <c r="B1197" s="94">
        <f t="shared" si="105"/>
        <v>651</v>
      </c>
      <c r="C1197" s="3"/>
      <c r="D1197" s="3"/>
      <c r="E1197" s="3"/>
      <c r="F1197" s="92" t="s">
        <v>78</v>
      </c>
      <c r="G1197" s="93">
        <v>610</v>
      </c>
      <c r="H1197" s="3" t="s">
        <v>134</v>
      </c>
      <c r="I1197" s="70">
        <v>31400</v>
      </c>
      <c r="J1197" s="70">
        <v>13159</v>
      </c>
      <c r="K1197" s="190">
        <f t="shared" si="102"/>
        <v>41.90764331210191</v>
      </c>
      <c r="L1197" s="177"/>
      <c r="M1197" s="70"/>
      <c r="N1197" s="70"/>
      <c r="O1197" s="189"/>
      <c r="P1197" s="177"/>
      <c r="Q1197" s="70">
        <f t="shared" si="103"/>
        <v>31400</v>
      </c>
      <c r="R1197" s="70">
        <f t="shared" si="101"/>
        <v>13159</v>
      </c>
      <c r="S1197" s="188">
        <f t="shared" si="104"/>
        <v>41.90764331210191</v>
      </c>
    </row>
    <row r="1198" spans="2:19" ht="12.75">
      <c r="B1198" s="94">
        <f t="shared" si="105"/>
        <v>652</v>
      </c>
      <c r="C1198" s="3"/>
      <c r="D1198" s="3"/>
      <c r="E1198" s="3"/>
      <c r="F1198" s="92" t="s">
        <v>78</v>
      </c>
      <c r="G1198" s="93">
        <v>620</v>
      </c>
      <c r="H1198" s="3" t="s">
        <v>128</v>
      </c>
      <c r="I1198" s="70">
        <v>11375</v>
      </c>
      <c r="J1198" s="70">
        <v>4757</v>
      </c>
      <c r="K1198" s="190">
        <f t="shared" si="102"/>
        <v>41.81978021978022</v>
      </c>
      <c r="L1198" s="177"/>
      <c r="M1198" s="70"/>
      <c r="N1198" s="70"/>
      <c r="O1198" s="189"/>
      <c r="P1198" s="177"/>
      <c r="Q1198" s="70">
        <f t="shared" si="103"/>
        <v>11375</v>
      </c>
      <c r="R1198" s="70">
        <f t="shared" si="101"/>
        <v>4757</v>
      </c>
      <c r="S1198" s="188">
        <f t="shared" si="104"/>
        <v>41.81978021978022</v>
      </c>
    </row>
    <row r="1199" spans="2:19" ht="12.75">
      <c r="B1199" s="94">
        <f t="shared" si="105"/>
        <v>653</v>
      </c>
      <c r="C1199" s="3"/>
      <c r="D1199" s="3"/>
      <c r="E1199" s="3"/>
      <c r="F1199" s="92" t="s">
        <v>78</v>
      </c>
      <c r="G1199" s="93">
        <v>630</v>
      </c>
      <c r="H1199" s="3" t="s">
        <v>125</v>
      </c>
      <c r="I1199" s="70">
        <f>SUM(I1200:I1203)</f>
        <v>66190</v>
      </c>
      <c r="J1199" s="70">
        <f>SUM(J1200:J1203)</f>
        <v>20818</v>
      </c>
      <c r="K1199" s="190">
        <f t="shared" si="102"/>
        <v>31.451880948783806</v>
      </c>
      <c r="L1199" s="177"/>
      <c r="M1199" s="70"/>
      <c r="N1199" s="70"/>
      <c r="O1199" s="189"/>
      <c r="P1199" s="177"/>
      <c r="Q1199" s="70">
        <f t="shared" si="103"/>
        <v>66190</v>
      </c>
      <c r="R1199" s="70">
        <f t="shared" si="101"/>
        <v>20818</v>
      </c>
      <c r="S1199" s="188">
        <f t="shared" si="104"/>
        <v>31.451880948783806</v>
      </c>
    </row>
    <row r="1200" spans="2:19" ht="12.75">
      <c r="B1200" s="94">
        <f t="shared" si="105"/>
        <v>654</v>
      </c>
      <c r="C1200" s="4"/>
      <c r="D1200" s="4"/>
      <c r="E1200" s="4"/>
      <c r="F1200" s="32" t="s">
        <v>78</v>
      </c>
      <c r="G1200" s="41">
        <v>632</v>
      </c>
      <c r="H1200" s="4" t="s">
        <v>138</v>
      </c>
      <c r="I1200" s="71">
        <v>14700</v>
      </c>
      <c r="J1200" s="71">
        <v>3287</v>
      </c>
      <c r="K1200" s="190">
        <f t="shared" si="102"/>
        <v>22.360544217687075</v>
      </c>
      <c r="L1200" s="178"/>
      <c r="M1200" s="71"/>
      <c r="N1200" s="71"/>
      <c r="O1200" s="189"/>
      <c r="P1200" s="178"/>
      <c r="Q1200" s="71">
        <f t="shared" si="103"/>
        <v>14700</v>
      </c>
      <c r="R1200" s="71">
        <f t="shared" si="101"/>
        <v>3287</v>
      </c>
      <c r="S1200" s="188">
        <f t="shared" si="104"/>
        <v>22.360544217687075</v>
      </c>
    </row>
    <row r="1201" spans="2:19" ht="12.75">
      <c r="B1201" s="94">
        <f t="shared" si="105"/>
        <v>655</v>
      </c>
      <c r="C1201" s="4"/>
      <c r="D1201" s="4"/>
      <c r="E1201" s="4"/>
      <c r="F1201" s="32" t="s">
        <v>78</v>
      </c>
      <c r="G1201" s="41">
        <v>633</v>
      </c>
      <c r="H1201" s="4" t="s">
        <v>129</v>
      </c>
      <c r="I1201" s="71">
        <v>41580</v>
      </c>
      <c r="J1201" s="71">
        <v>11707</v>
      </c>
      <c r="K1201" s="190">
        <f t="shared" si="102"/>
        <v>28.155363155363155</v>
      </c>
      <c r="L1201" s="178"/>
      <c r="M1201" s="71"/>
      <c r="N1201" s="71"/>
      <c r="O1201" s="189"/>
      <c r="P1201" s="178"/>
      <c r="Q1201" s="71">
        <f t="shared" si="103"/>
        <v>41580</v>
      </c>
      <c r="R1201" s="71">
        <f t="shared" si="101"/>
        <v>11707</v>
      </c>
      <c r="S1201" s="188">
        <f t="shared" si="104"/>
        <v>28.155363155363155</v>
      </c>
    </row>
    <row r="1202" spans="2:19" ht="12.75">
      <c r="B1202" s="94">
        <f t="shared" si="105"/>
        <v>656</v>
      </c>
      <c r="C1202" s="4"/>
      <c r="D1202" s="4"/>
      <c r="E1202" s="4"/>
      <c r="F1202" s="32" t="s">
        <v>78</v>
      </c>
      <c r="G1202" s="41">
        <v>635</v>
      </c>
      <c r="H1202" s="4" t="s">
        <v>136</v>
      </c>
      <c r="I1202" s="71">
        <v>5200</v>
      </c>
      <c r="J1202" s="71">
        <v>3067</v>
      </c>
      <c r="K1202" s="190">
        <f t="shared" si="102"/>
        <v>58.980769230769226</v>
      </c>
      <c r="L1202" s="178"/>
      <c r="M1202" s="71"/>
      <c r="N1202" s="71"/>
      <c r="O1202" s="189"/>
      <c r="P1202" s="178"/>
      <c r="Q1202" s="71">
        <f t="shared" si="103"/>
        <v>5200</v>
      </c>
      <c r="R1202" s="71">
        <f t="shared" si="101"/>
        <v>3067</v>
      </c>
      <c r="S1202" s="188">
        <f t="shared" si="104"/>
        <v>58.980769230769226</v>
      </c>
    </row>
    <row r="1203" spans="2:19" ht="12.75">
      <c r="B1203" s="94">
        <f t="shared" si="105"/>
        <v>657</v>
      </c>
      <c r="C1203" s="4"/>
      <c r="D1203" s="4"/>
      <c r="E1203" s="4"/>
      <c r="F1203" s="32" t="s">
        <v>78</v>
      </c>
      <c r="G1203" s="41">
        <v>637</v>
      </c>
      <c r="H1203" s="4" t="s">
        <v>126</v>
      </c>
      <c r="I1203" s="71">
        <v>4710</v>
      </c>
      <c r="J1203" s="71">
        <v>2757</v>
      </c>
      <c r="K1203" s="190">
        <f t="shared" si="102"/>
        <v>58.53503184713376</v>
      </c>
      <c r="L1203" s="178"/>
      <c r="M1203" s="71"/>
      <c r="N1203" s="71"/>
      <c r="O1203" s="189"/>
      <c r="P1203" s="178"/>
      <c r="Q1203" s="71">
        <f t="shared" si="103"/>
        <v>4710</v>
      </c>
      <c r="R1203" s="71">
        <f t="shared" si="101"/>
        <v>2757</v>
      </c>
      <c r="S1203" s="188">
        <f t="shared" si="104"/>
        <v>58.53503184713376</v>
      </c>
    </row>
    <row r="1204" spans="2:19" ht="12.75">
      <c r="B1204" s="94">
        <f t="shared" si="105"/>
        <v>658</v>
      </c>
      <c r="C1204" s="3"/>
      <c r="D1204" s="3"/>
      <c r="E1204" s="3"/>
      <c r="F1204" s="92" t="s">
        <v>78</v>
      </c>
      <c r="G1204" s="93">
        <v>640</v>
      </c>
      <c r="H1204" s="3" t="s">
        <v>132</v>
      </c>
      <c r="I1204" s="70">
        <v>500</v>
      </c>
      <c r="J1204" s="70">
        <v>108</v>
      </c>
      <c r="K1204" s="190">
        <f t="shared" si="102"/>
        <v>21.6</v>
      </c>
      <c r="L1204" s="177"/>
      <c r="M1204" s="70"/>
      <c r="N1204" s="70"/>
      <c r="O1204" s="189"/>
      <c r="P1204" s="177"/>
      <c r="Q1204" s="70">
        <f t="shared" si="103"/>
        <v>500</v>
      </c>
      <c r="R1204" s="70">
        <f t="shared" si="101"/>
        <v>108</v>
      </c>
      <c r="S1204" s="188">
        <f t="shared" si="104"/>
        <v>21.6</v>
      </c>
    </row>
    <row r="1205" spans="2:19" ht="12.75">
      <c r="B1205" s="94">
        <f t="shared" si="105"/>
        <v>659</v>
      </c>
      <c r="C1205" s="3"/>
      <c r="D1205" s="3"/>
      <c r="E1205" s="3"/>
      <c r="F1205" s="92" t="s">
        <v>46</v>
      </c>
      <c r="G1205" s="93">
        <v>610</v>
      </c>
      <c r="H1205" s="3" t="s">
        <v>134</v>
      </c>
      <c r="I1205" s="70">
        <v>31400</v>
      </c>
      <c r="J1205" s="70">
        <v>13159</v>
      </c>
      <c r="K1205" s="190">
        <f t="shared" si="102"/>
        <v>41.90764331210191</v>
      </c>
      <c r="L1205" s="177"/>
      <c r="M1205" s="70"/>
      <c r="N1205" s="70"/>
      <c r="O1205" s="189"/>
      <c r="P1205" s="177"/>
      <c r="Q1205" s="70">
        <f t="shared" si="103"/>
        <v>31400</v>
      </c>
      <c r="R1205" s="70">
        <f t="shared" si="101"/>
        <v>13159</v>
      </c>
      <c r="S1205" s="188">
        <f t="shared" si="104"/>
        <v>41.90764331210191</v>
      </c>
    </row>
    <row r="1206" spans="2:19" ht="12.75">
      <c r="B1206" s="94">
        <f t="shared" si="105"/>
        <v>660</v>
      </c>
      <c r="C1206" s="3"/>
      <c r="D1206" s="3"/>
      <c r="E1206" s="3"/>
      <c r="F1206" s="92" t="s">
        <v>46</v>
      </c>
      <c r="G1206" s="93">
        <v>620</v>
      </c>
      <c r="H1206" s="3" t="s">
        <v>128</v>
      </c>
      <c r="I1206" s="70">
        <v>11375</v>
      </c>
      <c r="J1206" s="70">
        <v>4757</v>
      </c>
      <c r="K1206" s="190">
        <f t="shared" si="102"/>
        <v>41.81978021978022</v>
      </c>
      <c r="L1206" s="177"/>
      <c r="M1206" s="70"/>
      <c r="N1206" s="70"/>
      <c r="O1206" s="189"/>
      <c r="P1206" s="177"/>
      <c r="Q1206" s="70">
        <f t="shared" si="103"/>
        <v>11375</v>
      </c>
      <c r="R1206" s="70">
        <f t="shared" si="101"/>
        <v>4757</v>
      </c>
      <c r="S1206" s="188">
        <f t="shared" si="104"/>
        <v>41.81978021978022</v>
      </c>
    </row>
    <row r="1207" spans="2:19" ht="12.75">
      <c r="B1207" s="94">
        <f t="shared" si="105"/>
        <v>661</v>
      </c>
      <c r="C1207" s="3"/>
      <c r="D1207" s="3"/>
      <c r="E1207" s="3"/>
      <c r="F1207" s="92" t="s">
        <v>46</v>
      </c>
      <c r="G1207" s="93">
        <v>630</v>
      </c>
      <c r="H1207" s="3" t="s">
        <v>125</v>
      </c>
      <c r="I1207" s="70">
        <f>SUM(I1208:I1211)</f>
        <v>80630</v>
      </c>
      <c r="J1207" s="70">
        <f>SUM(J1208:J1211)</f>
        <v>21367</v>
      </c>
      <c r="K1207" s="190">
        <f t="shared" si="102"/>
        <v>26.500062011658194</v>
      </c>
      <c r="L1207" s="177"/>
      <c r="M1207" s="70"/>
      <c r="N1207" s="70"/>
      <c r="O1207" s="189"/>
      <c r="P1207" s="177"/>
      <c r="Q1207" s="70">
        <f t="shared" si="103"/>
        <v>80630</v>
      </c>
      <c r="R1207" s="70">
        <f t="shared" si="101"/>
        <v>21367</v>
      </c>
      <c r="S1207" s="188">
        <f t="shared" si="104"/>
        <v>26.500062011658194</v>
      </c>
    </row>
    <row r="1208" spans="2:19" ht="12.75">
      <c r="B1208" s="94">
        <f t="shared" si="105"/>
        <v>662</v>
      </c>
      <c r="C1208" s="4"/>
      <c r="D1208" s="4"/>
      <c r="E1208" s="4"/>
      <c r="F1208" s="32" t="s">
        <v>46</v>
      </c>
      <c r="G1208" s="41">
        <v>632</v>
      </c>
      <c r="H1208" s="4" t="s">
        <v>138</v>
      </c>
      <c r="I1208" s="71">
        <v>14700</v>
      </c>
      <c r="J1208" s="71">
        <v>3287</v>
      </c>
      <c r="K1208" s="190">
        <f t="shared" si="102"/>
        <v>22.360544217687075</v>
      </c>
      <c r="L1208" s="178"/>
      <c r="M1208" s="71"/>
      <c r="N1208" s="71"/>
      <c r="O1208" s="189"/>
      <c r="P1208" s="178"/>
      <c r="Q1208" s="71">
        <f t="shared" si="103"/>
        <v>14700</v>
      </c>
      <c r="R1208" s="71">
        <f t="shared" si="101"/>
        <v>3287</v>
      </c>
      <c r="S1208" s="188">
        <f t="shared" si="104"/>
        <v>22.360544217687075</v>
      </c>
    </row>
    <row r="1209" spans="2:19" ht="12.75">
      <c r="B1209" s="94">
        <f t="shared" si="105"/>
        <v>663</v>
      </c>
      <c r="C1209" s="4"/>
      <c r="D1209" s="4"/>
      <c r="E1209" s="4"/>
      <c r="F1209" s="32" t="s">
        <v>46</v>
      </c>
      <c r="G1209" s="41">
        <v>633</v>
      </c>
      <c r="H1209" s="4" t="s">
        <v>129</v>
      </c>
      <c r="I1209" s="71">
        <v>56020</v>
      </c>
      <c r="J1209" s="71">
        <v>12252</v>
      </c>
      <c r="K1209" s="190">
        <f t="shared" si="102"/>
        <v>21.870760442699037</v>
      </c>
      <c r="L1209" s="178"/>
      <c r="M1209" s="71"/>
      <c r="N1209" s="71"/>
      <c r="O1209" s="189"/>
      <c r="P1209" s="178"/>
      <c r="Q1209" s="71">
        <f t="shared" si="103"/>
        <v>56020</v>
      </c>
      <c r="R1209" s="71">
        <f t="shared" si="101"/>
        <v>12252</v>
      </c>
      <c r="S1209" s="188">
        <f t="shared" si="104"/>
        <v>21.870760442699037</v>
      </c>
    </row>
    <row r="1210" spans="2:19" ht="12.75">
      <c r="B1210" s="94">
        <f t="shared" si="105"/>
        <v>664</v>
      </c>
      <c r="C1210" s="4"/>
      <c r="D1210" s="4"/>
      <c r="E1210" s="4"/>
      <c r="F1210" s="32" t="s">
        <v>46</v>
      </c>
      <c r="G1210" s="41">
        <v>635</v>
      </c>
      <c r="H1210" s="4" t="s">
        <v>136</v>
      </c>
      <c r="I1210" s="71">
        <v>5200</v>
      </c>
      <c r="J1210" s="71">
        <v>3067</v>
      </c>
      <c r="K1210" s="190">
        <f t="shared" si="102"/>
        <v>58.980769230769226</v>
      </c>
      <c r="L1210" s="178"/>
      <c r="M1210" s="71"/>
      <c r="N1210" s="71"/>
      <c r="O1210" s="189"/>
      <c r="P1210" s="178"/>
      <c r="Q1210" s="71">
        <f t="shared" si="103"/>
        <v>5200</v>
      </c>
      <c r="R1210" s="71">
        <f t="shared" si="101"/>
        <v>3067</v>
      </c>
      <c r="S1210" s="188">
        <f t="shared" si="104"/>
        <v>58.980769230769226</v>
      </c>
    </row>
    <row r="1211" spans="2:19" ht="12.75">
      <c r="B1211" s="94">
        <f t="shared" si="105"/>
        <v>665</v>
      </c>
      <c r="C1211" s="4"/>
      <c r="D1211" s="4"/>
      <c r="E1211" s="4"/>
      <c r="F1211" s="32" t="s">
        <v>46</v>
      </c>
      <c r="G1211" s="41">
        <v>637</v>
      </c>
      <c r="H1211" s="4" t="s">
        <v>126</v>
      </c>
      <c r="I1211" s="71">
        <v>4710</v>
      </c>
      <c r="J1211" s="71">
        <v>2761</v>
      </c>
      <c r="K1211" s="190">
        <f t="shared" si="102"/>
        <v>58.61995753715499</v>
      </c>
      <c r="L1211" s="178"/>
      <c r="M1211" s="71"/>
      <c r="N1211" s="71"/>
      <c r="O1211" s="189"/>
      <c r="P1211" s="178"/>
      <c r="Q1211" s="71">
        <f t="shared" si="103"/>
        <v>4710</v>
      </c>
      <c r="R1211" s="71">
        <f t="shared" si="101"/>
        <v>2761</v>
      </c>
      <c r="S1211" s="188">
        <f t="shared" si="104"/>
        <v>58.61995753715499</v>
      </c>
    </row>
    <row r="1212" spans="2:19" ht="12.75">
      <c r="B1212" s="94">
        <f t="shared" si="105"/>
        <v>666</v>
      </c>
      <c r="C1212" s="3"/>
      <c r="D1212" s="3"/>
      <c r="E1212" s="3"/>
      <c r="F1212" s="92" t="s">
        <v>46</v>
      </c>
      <c r="G1212" s="93">
        <v>640</v>
      </c>
      <c r="H1212" s="3" t="s">
        <v>132</v>
      </c>
      <c r="I1212" s="70">
        <v>500</v>
      </c>
      <c r="J1212" s="70">
        <v>108</v>
      </c>
      <c r="K1212" s="190">
        <f t="shared" si="102"/>
        <v>21.6</v>
      </c>
      <c r="L1212" s="177"/>
      <c r="M1212" s="70"/>
      <c r="N1212" s="70"/>
      <c r="O1212" s="189"/>
      <c r="P1212" s="177"/>
      <c r="Q1212" s="70">
        <f t="shared" si="103"/>
        <v>500</v>
      </c>
      <c r="R1212" s="70">
        <f t="shared" si="101"/>
        <v>108</v>
      </c>
      <c r="S1212" s="188">
        <f t="shared" si="104"/>
        <v>21.6</v>
      </c>
    </row>
    <row r="1213" spans="2:19" ht="15">
      <c r="B1213" s="94">
        <f t="shared" si="105"/>
        <v>667</v>
      </c>
      <c r="C1213" s="12"/>
      <c r="D1213" s="12"/>
      <c r="E1213" s="12">
        <v>10</v>
      </c>
      <c r="F1213" s="35"/>
      <c r="G1213" s="43"/>
      <c r="H1213" s="12" t="s">
        <v>1</v>
      </c>
      <c r="I1213" s="82">
        <f>I1214+I1216+I1217+I1218+I1224+I1225+I1226+I1227+I1233</f>
        <v>287236</v>
      </c>
      <c r="J1213" s="82">
        <f>J1214+J1216+J1217+J1218+J1224+J1225+J1226+J1227+J1233</f>
        <v>86882</v>
      </c>
      <c r="K1213" s="190">
        <f t="shared" si="102"/>
        <v>30.247601275606122</v>
      </c>
      <c r="L1213" s="182"/>
      <c r="M1213" s="82"/>
      <c r="N1213" s="82"/>
      <c r="O1213" s="189"/>
      <c r="P1213" s="182"/>
      <c r="Q1213" s="82">
        <f t="shared" si="103"/>
        <v>287236</v>
      </c>
      <c r="R1213" s="82">
        <f t="shared" si="101"/>
        <v>86882</v>
      </c>
      <c r="S1213" s="188">
        <f t="shared" si="104"/>
        <v>30.247601275606122</v>
      </c>
    </row>
    <row r="1214" spans="2:19" ht="12.75">
      <c r="B1214" s="94">
        <f t="shared" si="105"/>
        <v>668</v>
      </c>
      <c r="C1214" s="3"/>
      <c r="D1214" s="3"/>
      <c r="E1214" s="3"/>
      <c r="F1214" s="92" t="s">
        <v>164</v>
      </c>
      <c r="G1214" s="93">
        <v>630</v>
      </c>
      <c r="H1214" s="3" t="s">
        <v>125</v>
      </c>
      <c r="I1214" s="70">
        <f>I1215</f>
        <v>40163</v>
      </c>
      <c r="J1214" s="70">
        <f>J1215</f>
        <v>9087</v>
      </c>
      <c r="K1214" s="190">
        <f t="shared" si="102"/>
        <v>22.625301894778776</v>
      </c>
      <c r="L1214" s="177"/>
      <c r="M1214" s="70"/>
      <c r="N1214" s="70"/>
      <c r="O1214" s="189"/>
      <c r="P1214" s="177"/>
      <c r="Q1214" s="70">
        <f t="shared" si="103"/>
        <v>40163</v>
      </c>
      <c r="R1214" s="70">
        <f t="shared" si="101"/>
        <v>9087</v>
      </c>
      <c r="S1214" s="188">
        <f t="shared" si="104"/>
        <v>22.625301894778776</v>
      </c>
    </row>
    <row r="1215" spans="2:19" ht="12.75">
      <c r="B1215" s="94">
        <f t="shared" si="105"/>
        <v>669</v>
      </c>
      <c r="C1215" s="4"/>
      <c r="D1215" s="4"/>
      <c r="E1215" s="4"/>
      <c r="F1215" s="32" t="s">
        <v>164</v>
      </c>
      <c r="G1215" s="41">
        <v>633</v>
      </c>
      <c r="H1215" s="4" t="s">
        <v>129</v>
      </c>
      <c r="I1215" s="71">
        <v>40163</v>
      </c>
      <c r="J1215" s="71">
        <v>9087</v>
      </c>
      <c r="K1215" s="190">
        <f t="shared" si="102"/>
        <v>22.625301894778776</v>
      </c>
      <c r="L1215" s="178"/>
      <c r="M1215" s="71"/>
      <c r="N1215" s="71"/>
      <c r="O1215" s="189"/>
      <c r="P1215" s="178"/>
      <c r="Q1215" s="71">
        <f t="shared" si="103"/>
        <v>40163</v>
      </c>
      <c r="R1215" s="71">
        <f t="shared" si="101"/>
        <v>9087</v>
      </c>
      <c r="S1215" s="188">
        <f t="shared" si="104"/>
        <v>22.625301894778776</v>
      </c>
    </row>
    <row r="1216" spans="2:19" ht="12.75">
      <c r="B1216" s="94">
        <f t="shared" si="105"/>
        <v>670</v>
      </c>
      <c r="C1216" s="3"/>
      <c r="D1216" s="3"/>
      <c r="E1216" s="3"/>
      <c r="F1216" s="92" t="s">
        <v>78</v>
      </c>
      <c r="G1216" s="93">
        <v>610</v>
      </c>
      <c r="H1216" s="3" t="s">
        <v>134</v>
      </c>
      <c r="I1216" s="70">
        <v>39000</v>
      </c>
      <c r="J1216" s="70">
        <v>15401</v>
      </c>
      <c r="K1216" s="190">
        <f t="shared" si="102"/>
        <v>39.48974358974359</v>
      </c>
      <c r="L1216" s="177"/>
      <c r="M1216" s="70"/>
      <c r="N1216" s="70"/>
      <c r="O1216" s="189"/>
      <c r="P1216" s="177"/>
      <c r="Q1216" s="70">
        <f t="shared" si="103"/>
        <v>39000</v>
      </c>
      <c r="R1216" s="70">
        <f t="shared" si="101"/>
        <v>15401</v>
      </c>
      <c r="S1216" s="188">
        <f t="shared" si="104"/>
        <v>39.48974358974359</v>
      </c>
    </row>
    <row r="1217" spans="2:19" ht="12.75">
      <c r="B1217" s="94">
        <f t="shared" si="105"/>
        <v>671</v>
      </c>
      <c r="C1217" s="3"/>
      <c r="D1217" s="3"/>
      <c r="E1217" s="3"/>
      <c r="F1217" s="92" t="s">
        <v>78</v>
      </c>
      <c r="G1217" s="93">
        <v>620</v>
      </c>
      <c r="H1217" s="3" t="s">
        <v>128</v>
      </c>
      <c r="I1217" s="70">
        <v>13631</v>
      </c>
      <c r="J1217" s="70">
        <v>5739</v>
      </c>
      <c r="K1217" s="190">
        <f t="shared" si="102"/>
        <v>42.10256034040056</v>
      </c>
      <c r="L1217" s="177"/>
      <c r="M1217" s="70"/>
      <c r="N1217" s="70"/>
      <c r="O1217" s="189"/>
      <c r="P1217" s="177"/>
      <c r="Q1217" s="70">
        <f t="shared" si="103"/>
        <v>13631</v>
      </c>
      <c r="R1217" s="70">
        <f t="shared" si="101"/>
        <v>5739</v>
      </c>
      <c r="S1217" s="188">
        <f t="shared" si="104"/>
        <v>42.10256034040056</v>
      </c>
    </row>
    <row r="1218" spans="2:19" ht="12.75">
      <c r="B1218" s="94">
        <f t="shared" si="105"/>
        <v>672</v>
      </c>
      <c r="C1218" s="3"/>
      <c r="D1218" s="3"/>
      <c r="E1218" s="3"/>
      <c r="F1218" s="92" t="s">
        <v>78</v>
      </c>
      <c r="G1218" s="93">
        <v>630</v>
      </c>
      <c r="H1218" s="3" t="s">
        <v>125</v>
      </c>
      <c r="I1218" s="70">
        <f>SUM(I1219:I1223)</f>
        <v>70028</v>
      </c>
      <c r="J1218" s="70">
        <f>SUM(J1219:J1223)</f>
        <v>16491</v>
      </c>
      <c r="K1218" s="190">
        <f t="shared" si="102"/>
        <v>23.54915176786428</v>
      </c>
      <c r="L1218" s="177"/>
      <c r="M1218" s="70"/>
      <c r="N1218" s="70"/>
      <c r="O1218" s="189"/>
      <c r="P1218" s="177"/>
      <c r="Q1218" s="70">
        <f t="shared" si="103"/>
        <v>70028</v>
      </c>
      <c r="R1218" s="70">
        <f t="shared" si="101"/>
        <v>16491</v>
      </c>
      <c r="S1218" s="188">
        <f t="shared" si="104"/>
        <v>23.54915176786428</v>
      </c>
    </row>
    <row r="1219" spans="2:19" ht="12.75">
      <c r="B1219" s="94">
        <f t="shared" si="105"/>
        <v>673</v>
      </c>
      <c r="C1219" s="4"/>
      <c r="D1219" s="4"/>
      <c r="E1219" s="4"/>
      <c r="F1219" s="32" t="s">
        <v>78</v>
      </c>
      <c r="G1219" s="41">
        <v>632</v>
      </c>
      <c r="H1219" s="4" t="s">
        <v>138</v>
      </c>
      <c r="I1219" s="71">
        <v>11050</v>
      </c>
      <c r="J1219" s="71">
        <v>5083</v>
      </c>
      <c r="K1219" s="190">
        <f t="shared" si="102"/>
        <v>46</v>
      </c>
      <c r="L1219" s="178"/>
      <c r="M1219" s="71"/>
      <c r="N1219" s="71"/>
      <c r="O1219" s="189"/>
      <c r="P1219" s="178"/>
      <c r="Q1219" s="71">
        <f t="shared" si="103"/>
        <v>11050</v>
      </c>
      <c r="R1219" s="71">
        <f t="shared" si="101"/>
        <v>5083</v>
      </c>
      <c r="S1219" s="188">
        <f t="shared" si="104"/>
        <v>46</v>
      </c>
    </row>
    <row r="1220" spans="2:19" ht="12.75">
      <c r="B1220" s="94">
        <f t="shared" si="105"/>
        <v>674</v>
      </c>
      <c r="C1220" s="4"/>
      <c r="D1220" s="4"/>
      <c r="E1220" s="4"/>
      <c r="F1220" s="32" t="s">
        <v>78</v>
      </c>
      <c r="G1220" s="41">
        <v>633</v>
      </c>
      <c r="H1220" s="4" t="s">
        <v>129</v>
      </c>
      <c r="I1220" s="71">
        <v>46988</v>
      </c>
      <c r="J1220" s="71">
        <v>9984</v>
      </c>
      <c r="K1220" s="190">
        <f t="shared" si="102"/>
        <v>21.24797820720184</v>
      </c>
      <c r="L1220" s="178"/>
      <c r="M1220" s="71"/>
      <c r="N1220" s="71"/>
      <c r="O1220" s="189"/>
      <c r="P1220" s="178"/>
      <c r="Q1220" s="71">
        <f t="shared" si="103"/>
        <v>46988</v>
      </c>
      <c r="R1220" s="71">
        <f t="shared" si="101"/>
        <v>9984</v>
      </c>
      <c r="S1220" s="188">
        <f t="shared" si="104"/>
        <v>21.24797820720184</v>
      </c>
    </row>
    <row r="1221" spans="2:19" ht="12.75">
      <c r="B1221" s="94">
        <f t="shared" si="105"/>
        <v>675</v>
      </c>
      <c r="C1221" s="4"/>
      <c r="D1221" s="4"/>
      <c r="E1221" s="4"/>
      <c r="F1221" s="32" t="s">
        <v>78</v>
      </c>
      <c r="G1221" s="41">
        <v>635</v>
      </c>
      <c r="H1221" s="4" t="s">
        <v>136</v>
      </c>
      <c r="I1221" s="71">
        <v>6120</v>
      </c>
      <c r="J1221" s="71">
        <v>0</v>
      </c>
      <c r="K1221" s="190">
        <f t="shared" si="102"/>
        <v>0</v>
      </c>
      <c r="L1221" s="178"/>
      <c r="M1221" s="71"/>
      <c r="N1221" s="71"/>
      <c r="O1221" s="189"/>
      <c r="P1221" s="178"/>
      <c r="Q1221" s="71">
        <f t="shared" si="103"/>
        <v>6120</v>
      </c>
      <c r="R1221" s="71">
        <f t="shared" si="101"/>
        <v>0</v>
      </c>
      <c r="S1221" s="188">
        <f t="shared" si="104"/>
        <v>0</v>
      </c>
    </row>
    <row r="1222" spans="2:19" ht="12.75">
      <c r="B1222" s="94">
        <f t="shared" si="105"/>
        <v>676</v>
      </c>
      <c r="C1222" s="4"/>
      <c r="D1222" s="4"/>
      <c r="E1222" s="4"/>
      <c r="F1222" s="32" t="s">
        <v>78</v>
      </c>
      <c r="G1222" s="41">
        <v>636</v>
      </c>
      <c r="H1222" s="4" t="s">
        <v>130</v>
      </c>
      <c r="I1222" s="71">
        <v>200</v>
      </c>
      <c r="J1222" s="71">
        <v>192</v>
      </c>
      <c r="K1222" s="190">
        <f t="shared" si="102"/>
        <v>96</v>
      </c>
      <c r="L1222" s="178"/>
      <c r="M1222" s="71"/>
      <c r="N1222" s="71"/>
      <c r="O1222" s="189"/>
      <c r="P1222" s="178"/>
      <c r="Q1222" s="71">
        <f t="shared" si="103"/>
        <v>200</v>
      </c>
      <c r="R1222" s="71">
        <f t="shared" si="101"/>
        <v>192</v>
      </c>
      <c r="S1222" s="188">
        <f t="shared" si="104"/>
        <v>96</v>
      </c>
    </row>
    <row r="1223" spans="2:19" ht="12.75">
      <c r="B1223" s="94">
        <f t="shared" si="105"/>
        <v>677</v>
      </c>
      <c r="C1223" s="4"/>
      <c r="D1223" s="4"/>
      <c r="E1223" s="4"/>
      <c r="F1223" s="32" t="s">
        <v>78</v>
      </c>
      <c r="G1223" s="41">
        <v>637</v>
      </c>
      <c r="H1223" s="4" t="s">
        <v>126</v>
      </c>
      <c r="I1223" s="71">
        <v>5670</v>
      </c>
      <c r="J1223" s="71">
        <v>1232</v>
      </c>
      <c r="K1223" s="190">
        <f t="shared" si="102"/>
        <v>21.728395061728396</v>
      </c>
      <c r="L1223" s="178"/>
      <c r="M1223" s="71"/>
      <c r="N1223" s="71"/>
      <c r="O1223" s="189"/>
      <c r="P1223" s="178"/>
      <c r="Q1223" s="71">
        <f t="shared" si="103"/>
        <v>5670</v>
      </c>
      <c r="R1223" s="71">
        <f t="shared" si="101"/>
        <v>1232</v>
      </c>
      <c r="S1223" s="188">
        <f t="shared" si="104"/>
        <v>21.728395061728396</v>
      </c>
    </row>
    <row r="1224" spans="2:19" ht="12.75">
      <c r="B1224" s="94">
        <f t="shared" si="105"/>
        <v>678</v>
      </c>
      <c r="C1224" s="3"/>
      <c r="D1224" s="3"/>
      <c r="E1224" s="3"/>
      <c r="F1224" s="92" t="s">
        <v>78</v>
      </c>
      <c r="G1224" s="93">
        <v>640</v>
      </c>
      <c r="H1224" s="3" t="s">
        <v>132</v>
      </c>
      <c r="I1224" s="70">
        <v>250</v>
      </c>
      <c r="J1224" s="72">
        <v>1402</v>
      </c>
      <c r="K1224" s="190">
        <f t="shared" si="102"/>
        <v>560.8</v>
      </c>
      <c r="L1224" s="177"/>
      <c r="M1224" s="70"/>
      <c r="N1224" s="70"/>
      <c r="O1224" s="189"/>
      <c r="P1224" s="177"/>
      <c r="Q1224" s="70">
        <f t="shared" si="103"/>
        <v>250</v>
      </c>
      <c r="R1224" s="70">
        <f t="shared" si="101"/>
        <v>1402</v>
      </c>
      <c r="S1224" s="188">
        <f t="shared" si="104"/>
        <v>560.8</v>
      </c>
    </row>
    <row r="1225" spans="2:19" ht="12.75">
      <c r="B1225" s="94">
        <f t="shared" si="105"/>
        <v>679</v>
      </c>
      <c r="C1225" s="3"/>
      <c r="D1225" s="3"/>
      <c r="E1225" s="3"/>
      <c r="F1225" s="92" t="s">
        <v>46</v>
      </c>
      <c r="G1225" s="93">
        <v>610</v>
      </c>
      <c r="H1225" s="3" t="s">
        <v>134</v>
      </c>
      <c r="I1225" s="70">
        <v>37400</v>
      </c>
      <c r="J1225" s="70">
        <v>16424</v>
      </c>
      <c r="K1225" s="190">
        <f t="shared" si="102"/>
        <v>43.9144385026738</v>
      </c>
      <c r="L1225" s="177"/>
      <c r="M1225" s="70"/>
      <c r="N1225" s="70"/>
      <c r="O1225" s="189"/>
      <c r="P1225" s="177"/>
      <c r="Q1225" s="70">
        <f t="shared" si="103"/>
        <v>37400</v>
      </c>
      <c r="R1225" s="70">
        <f t="shared" si="101"/>
        <v>16424</v>
      </c>
      <c r="S1225" s="188">
        <f t="shared" si="104"/>
        <v>43.9144385026738</v>
      </c>
    </row>
    <row r="1226" spans="2:19" ht="12.75">
      <c r="B1226" s="94">
        <f t="shared" si="105"/>
        <v>680</v>
      </c>
      <c r="C1226" s="3"/>
      <c r="D1226" s="3"/>
      <c r="E1226" s="3"/>
      <c r="F1226" s="92" t="s">
        <v>46</v>
      </c>
      <c r="G1226" s="93">
        <v>620</v>
      </c>
      <c r="H1226" s="3" t="s">
        <v>128</v>
      </c>
      <c r="I1226" s="70">
        <v>13072</v>
      </c>
      <c r="J1226" s="70">
        <v>5737</v>
      </c>
      <c r="K1226" s="190">
        <f t="shared" si="102"/>
        <v>43.887698898408814</v>
      </c>
      <c r="L1226" s="177"/>
      <c r="M1226" s="70"/>
      <c r="N1226" s="70"/>
      <c r="O1226" s="189"/>
      <c r="P1226" s="177"/>
      <c r="Q1226" s="70">
        <f t="shared" si="103"/>
        <v>13072</v>
      </c>
      <c r="R1226" s="70">
        <f t="shared" si="101"/>
        <v>5737</v>
      </c>
      <c r="S1226" s="188">
        <f t="shared" si="104"/>
        <v>43.887698898408814</v>
      </c>
    </row>
    <row r="1227" spans="2:19" ht="12.75">
      <c r="B1227" s="94">
        <f t="shared" si="105"/>
        <v>681</v>
      </c>
      <c r="C1227" s="3"/>
      <c r="D1227" s="3"/>
      <c r="E1227" s="3"/>
      <c r="F1227" s="92" t="s">
        <v>46</v>
      </c>
      <c r="G1227" s="93">
        <v>630</v>
      </c>
      <c r="H1227" s="3" t="s">
        <v>125</v>
      </c>
      <c r="I1227" s="70">
        <f>SUM(I1228:I1232)</f>
        <v>73442</v>
      </c>
      <c r="J1227" s="70">
        <f>SUM(J1228:J1232)</f>
        <v>16601</v>
      </c>
      <c r="K1227" s="190">
        <f t="shared" si="102"/>
        <v>22.604231910895674</v>
      </c>
      <c r="L1227" s="177"/>
      <c r="M1227" s="70"/>
      <c r="N1227" s="70"/>
      <c r="O1227" s="189"/>
      <c r="P1227" s="177"/>
      <c r="Q1227" s="70">
        <f t="shared" si="103"/>
        <v>73442</v>
      </c>
      <c r="R1227" s="70">
        <f t="shared" si="101"/>
        <v>16601</v>
      </c>
      <c r="S1227" s="188">
        <f t="shared" si="104"/>
        <v>22.604231910895674</v>
      </c>
    </row>
    <row r="1228" spans="2:19" ht="12.75">
      <c r="B1228" s="94">
        <f t="shared" si="105"/>
        <v>682</v>
      </c>
      <c r="C1228" s="4"/>
      <c r="D1228" s="4"/>
      <c r="E1228" s="4"/>
      <c r="F1228" s="32" t="s">
        <v>46</v>
      </c>
      <c r="G1228" s="41">
        <v>632</v>
      </c>
      <c r="H1228" s="4" t="s">
        <v>138</v>
      </c>
      <c r="I1228" s="71">
        <v>11050</v>
      </c>
      <c r="J1228" s="71">
        <v>5083</v>
      </c>
      <c r="K1228" s="190">
        <f t="shared" si="102"/>
        <v>46</v>
      </c>
      <c r="L1228" s="178"/>
      <c r="M1228" s="71"/>
      <c r="N1228" s="71"/>
      <c r="O1228" s="189"/>
      <c r="P1228" s="178"/>
      <c r="Q1228" s="71">
        <f t="shared" si="103"/>
        <v>11050</v>
      </c>
      <c r="R1228" s="71">
        <f t="shared" si="101"/>
        <v>5083</v>
      </c>
      <c r="S1228" s="188">
        <f t="shared" si="104"/>
        <v>46</v>
      </c>
    </row>
    <row r="1229" spans="2:19" ht="12.75">
      <c r="B1229" s="94">
        <f t="shared" si="105"/>
        <v>683</v>
      </c>
      <c r="C1229" s="4"/>
      <c r="D1229" s="4"/>
      <c r="E1229" s="4"/>
      <c r="F1229" s="32" t="s">
        <v>46</v>
      </c>
      <c r="G1229" s="41">
        <v>633</v>
      </c>
      <c r="H1229" s="4" t="s">
        <v>129</v>
      </c>
      <c r="I1229" s="71">
        <v>50402</v>
      </c>
      <c r="J1229" s="71">
        <v>10074</v>
      </c>
      <c r="K1229" s="190">
        <f t="shared" si="102"/>
        <v>19.987302091186855</v>
      </c>
      <c r="L1229" s="178"/>
      <c r="M1229" s="71"/>
      <c r="N1229" s="71"/>
      <c r="O1229" s="189"/>
      <c r="P1229" s="178"/>
      <c r="Q1229" s="71">
        <f t="shared" si="103"/>
        <v>50402</v>
      </c>
      <c r="R1229" s="71">
        <f t="shared" si="101"/>
        <v>10074</v>
      </c>
      <c r="S1229" s="188">
        <f t="shared" si="104"/>
        <v>19.987302091186855</v>
      </c>
    </row>
    <row r="1230" spans="2:19" ht="12.75">
      <c r="B1230" s="94">
        <f t="shared" si="105"/>
        <v>684</v>
      </c>
      <c r="C1230" s="4"/>
      <c r="D1230" s="4"/>
      <c r="E1230" s="4"/>
      <c r="F1230" s="32" t="s">
        <v>46</v>
      </c>
      <c r="G1230" s="41">
        <v>635</v>
      </c>
      <c r="H1230" s="4" t="s">
        <v>136</v>
      </c>
      <c r="I1230" s="71">
        <v>6120</v>
      </c>
      <c r="J1230" s="71">
        <v>0</v>
      </c>
      <c r="K1230" s="190">
        <f t="shared" si="102"/>
        <v>0</v>
      </c>
      <c r="L1230" s="178"/>
      <c r="M1230" s="71"/>
      <c r="N1230" s="71"/>
      <c r="O1230" s="189"/>
      <c r="P1230" s="178"/>
      <c r="Q1230" s="71">
        <f t="shared" si="103"/>
        <v>6120</v>
      </c>
      <c r="R1230" s="71">
        <f t="shared" si="101"/>
        <v>0</v>
      </c>
      <c r="S1230" s="188">
        <f t="shared" si="104"/>
        <v>0</v>
      </c>
    </row>
    <row r="1231" spans="2:19" ht="12.75">
      <c r="B1231" s="94">
        <f t="shared" si="105"/>
        <v>685</v>
      </c>
      <c r="C1231" s="4"/>
      <c r="D1231" s="4"/>
      <c r="E1231" s="4"/>
      <c r="F1231" s="32" t="s">
        <v>46</v>
      </c>
      <c r="G1231" s="41">
        <v>636</v>
      </c>
      <c r="H1231" s="4" t="s">
        <v>130</v>
      </c>
      <c r="I1231" s="71">
        <v>200</v>
      </c>
      <c r="J1231" s="71">
        <v>192</v>
      </c>
      <c r="K1231" s="190">
        <f t="shared" si="102"/>
        <v>96</v>
      </c>
      <c r="L1231" s="178"/>
      <c r="M1231" s="71"/>
      <c r="N1231" s="71"/>
      <c r="O1231" s="189"/>
      <c r="P1231" s="178"/>
      <c r="Q1231" s="71">
        <f t="shared" si="103"/>
        <v>200</v>
      </c>
      <c r="R1231" s="71">
        <f t="shared" si="101"/>
        <v>192</v>
      </c>
      <c r="S1231" s="188">
        <f t="shared" si="104"/>
        <v>96</v>
      </c>
    </row>
    <row r="1232" spans="2:19" ht="12.75">
      <c r="B1232" s="94">
        <f t="shared" si="105"/>
        <v>686</v>
      </c>
      <c r="C1232" s="4"/>
      <c r="D1232" s="4"/>
      <c r="E1232" s="4"/>
      <c r="F1232" s="32" t="s">
        <v>46</v>
      </c>
      <c r="G1232" s="41">
        <v>637</v>
      </c>
      <c r="H1232" s="4" t="s">
        <v>126</v>
      </c>
      <c r="I1232" s="71">
        <v>5670</v>
      </c>
      <c r="J1232" s="71">
        <v>1252</v>
      </c>
      <c r="K1232" s="190">
        <f t="shared" si="102"/>
        <v>22.081128747795415</v>
      </c>
      <c r="L1232" s="178"/>
      <c r="M1232" s="71"/>
      <c r="N1232" s="71"/>
      <c r="O1232" s="189"/>
      <c r="P1232" s="178"/>
      <c r="Q1232" s="71">
        <f t="shared" si="103"/>
        <v>5670</v>
      </c>
      <c r="R1232" s="71">
        <f t="shared" si="101"/>
        <v>1252</v>
      </c>
      <c r="S1232" s="188">
        <f t="shared" si="104"/>
        <v>22.081128747795415</v>
      </c>
    </row>
    <row r="1233" spans="2:19" ht="12.75">
      <c r="B1233" s="94">
        <f t="shared" si="105"/>
        <v>687</v>
      </c>
      <c r="C1233" s="3"/>
      <c r="D1233" s="3"/>
      <c r="E1233" s="3"/>
      <c r="F1233" s="92" t="s">
        <v>46</v>
      </c>
      <c r="G1233" s="93">
        <v>640</v>
      </c>
      <c r="H1233" s="3" t="s">
        <v>132</v>
      </c>
      <c r="I1233" s="70">
        <v>250</v>
      </c>
      <c r="J1233" s="70">
        <v>0</v>
      </c>
      <c r="K1233" s="190">
        <f t="shared" si="102"/>
        <v>0</v>
      </c>
      <c r="L1233" s="177"/>
      <c r="M1233" s="70"/>
      <c r="N1233" s="70"/>
      <c r="O1233" s="189"/>
      <c r="P1233" s="177"/>
      <c r="Q1233" s="70">
        <f t="shared" si="103"/>
        <v>250</v>
      </c>
      <c r="R1233" s="70">
        <f t="shared" si="101"/>
        <v>0</v>
      </c>
      <c r="S1233" s="188">
        <f t="shared" si="104"/>
        <v>0</v>
      </c>
    </row>
    <row r="1234" spans="2:19" ht="15">
      <c r="B1234" s="94">
        <f t="shared" si="105"/>
        <v>688</v>
      </c>
      <c r="C1234" s="12"/>
      <c r="D1234" s="12"/>
      <c r="E1234" s="12">
        <v>11</v>
      </c>
      <c r="F1234" s="35"/>
      <c r="G1234" s="43"/>
      <c r="H1234" s="12" t="s">
        <v>9</v>
      </c>
      <c r="I1234" s="82">
        <f>I1235+I1236+I1237+I1243+I1244+I1245+I1246+I1252</f>
        <v>360500</v>
      </c>
      <c r="J1234" s="82">
        <f>J1235+J1236+J1237+J1243+J1244+J1245+J1246+J1252</f>
        <v>109720</v>
      </c>
      <c r="K1234" s="190">
        <f t="shared" si="102"/>
        <v>30.435506241331485</v>
      </c>
      <c r="L1234" s="182"/>
      <c r="M1234" s="82"/>
      <c r="N1234" s="82"/>
      <c r="O1234" s="189"/>
      <c r="P1234" s="182"/>
      <c r="Q1234" s="82">
        <f t="shared" si="103"/>
        <v>360500</v>
      </c>
      <c r="R1234" s="82">
        <f t="shared" si="101"/>
        <v>109720</v>
      </c>
      <c r="S1234" s="188">
        <f t="shared" si="104"/>
        <v>30.435506241331485</v>
      </c>
    </row>
    <row r="1235" spans="2:19" ht="12.75">
      <c r="B1235" s="94">
        <f t="shared" si="105"/>
        <v>689</v>
      </c>
      <c r="C1235" s="3"/>
      <c r="D1235" s="3"/>
      <c r="E1235" s="3"/>
      <c r="F1235" s="92" t="s">
        <v>78</v>
      </c>
      <c r="G1235" s="93">
        <v>610</v>
      </c>
      <c r="H1235" s="3" t="s">
        <v>134</v>
      </c>
      <c r="I1235" s="70">
        <v>54478</v>
      </c>
      <c r="J1235" s="70">
        <v>19292</v>
      </c>
      <c r="K1235" s="190">
        <f t="shared" si="102"/>
        <v>35.41246007562685</v>
      </c>
      <c r="L1235" s="177"/>
      <c r="M1235" s="70"/>
      <c r="N1235" s="70"/>
      <c r="O1235" s="189"/>
      <c r="P1235" s="177"/>
      <c r="Q1235" s="70">
        <f t="shared" si="103"/>
        <v>54478</v>
      </c>
      <c r="R1235" s="70">
        <f t="shared" si="101"/>
        <v>19292</v>
      </c>
      <c r="S1235" s="188">
        <f t="shared" si="104"/>
        <v>35.41246007562685</v>
      </c>
    </row>
    <row r="1236" spans="2:19" ht="12.75">
      <c r="B1236" s="94">
        <f t="shared" si="105"/>
        <v>690</v>
      </c>
      <c r="C1236" s="3"/>
      <c r="D1236" s="3"/>
      <c r="E1236" s="3"/>
      <c r="F1236" s="92" t="s">
        <v>78</v>
      </c>
      <c r="G1236" s="93">
        <v>620</v>
      </c>
      <c r="H1236" s="3" t="s">
        <v>128</v>
      </c>
      <c r="I1236" s="70">
        <v>19200</v>
      </c>
      <c r="J1236" s="70">
        <v>5981</v>
      </c>
      <c r="K1236" s="190">
        <f t="shared" si="102"/>
        <v>31.151041666666668</v>
      </c>
      <c r="L1236" s="177"/>
      <c r="M1236" s="70"/>
      <c r="N1236" s="70"/>
      <c r="O1236" s="189"/>
      <c r="P1236" s="177"/>
      <c r="Q1236" s="70">
        <f t="shared" si="103"/>
        <v>19200</v>
      </c>
      <c r="R1236" s="70">
        <f t="shared" si="101"/>
        <v>5981</v>
      </c>
      <c r="S1236" s="188">
        <f t="shared" si="104"/>
        <v>31.151041666666668</v>
      </c>
    </row>
    <row r="1237" spans="2:19" ht="12.75">
      <c r="B1237" s="94">
        <f t="shared" si="105"/>
        <v>691</v>
      </c>
      <c r="C1237" s="3"/>
      <c r="D1237" s="3"/>
      <c r="E1237" s="3"/>
      <c r="F1237" s="92" t="s">
        <v>78</v>
      </c>
      <c r="G1237" s="93">
        <v>630</v>
      </c>
      <c r="H1237" s="3" t="s">
        <v>125</v>
      </c>
      <c r="I1237" s="70">
        <f>SUM(I1238:I1242)</f>
        <v>15690</v>
      </c>
      <c r="J1237" s="70">
        <f>SUM(J1238:J1242)</f>
        <v>2927</v>
      </c>
      <c r="K1237" s="190">
        <f t="shared" si="102"/>
        <v>18.65519439133206</v>
      </c>
      <c r="L1237" s="177"/>
      <c r="M1237" s="70"/>
      <c r="N1237" s="70"/>
      <c r="O1237" s="189"/>
      <c r="P1237" s="177"/>
      <c r="Q1237" s="70">
        <f t="shared" si="103"/>
        <v>15690</v>
      </c>
      <c r="R1237" s="70">
        <f t="shared" si="101"/>
        <v>2927</v>
      </c>
      <c r="S1237" s="188">
        <f t="shared" si="104"/>
        <v>18.65519439133206</v>
      </c>
    </row>
    <row r="1238" spans="2:19" ht="12.75">
      <c r="B1238" s="94">
        <f t="shared" si="105"/>
        <v>692</v>
      </c>
      <c r="C1238" s="4"/>
      <c r="D1238" s="4"/>
      <c r="E1238" s="4"/>
      <c r="F1238" s="32" t="s">
        <v>78</v>
      </c>
      <c r="G1238" s="41">
        <v>631</v>
      </c>
      <c r="H1238" s="4" t="s">
        <v>131</v>
      </c>
      <c r="I1238" s="71">
        <v>5</v>
      </c>
      <c r="J1238" s="71">
        <v>0</v>
      </c>
      <c r="K1238" s="190">
        <f t="shared" si="102"/>
        <v>0</v>
      </c>
      <c r="L1238" s="178"/>
      <c r="M1238" s="71"/>
      <c r="N1238" s="71"/>
      <c r="O1238" s="189"/>
      <c r="P1238" s="178"/>
      <c r="Q1238" s="71">
        <f t="shared" si="103"/>
        <v>5</v>
      </c>
      <c r="R1238" s="71">
        <f aca="true" t="shared" si="106" ref="R1238:R1298">N1238+J1238</f>
        <v>0</v>
      </c>
      <c r="S1238" s="188">
        <f t="shared" si="104"/>
        <v>0</v>
      </c>
    </row>
    <row r="1239" spans="2:19" ht="12.75">
      <c r="B1239" s="94">
        <f t="shared" si="105"/>
        <v>693</v>
      </c>
      <c r="C1239" s="4"/>
      <c r="D1239" s="4"/>
      <c r="E1239" s="4"/>
      <c r="F1239" s="32" t="s">
        <v>78</v>
      </c>
      <c r="G1239" s="41">
        <v>632</v>
      </c>
      <c r="H1239" s="4" t="s">
        <v>138</v>
      </c>
      <c r="I1239" s="71">
        <v>7320</v>
      </c>
      <c r="J1239" s="71">
        <v>89</v>
      </c>
      <c r="K1239" s="190">
        <f t="shared" si="102"/>
        <v>1.2158469945355193</v>
      </c>
      <c r="L1239" s="178"/>
      <c r="M1239" s="71"/>
      <c r="N1239" s="71"/>
      <c r="O1239" s="189"/>
      <c r="P1239" s="178"/>
      <c r="Q1239" s="71">
        <f t="shared" si="103"/>
        <v>7320</v>
      </c>
      <c r="R1239" s="71">
        <f t="shared" si="106"/>
        <v>89</v>
      </c>
      <c r="S1239" s="188">
        <f t="shared" si="104"/>
        <v>1.2158469945355193</v>
      </c>
    </row>
    <row r="1240" spans="2:19" ht="12.75">
      <c r="B1240" s="94">
        <f t="shared" si="105"/>
        <v>694</v>
      </c>
      <c r="C1240" s="4"/>
      <c r="D1240" s="4"/>
      <c r="E1240" s="4"/>
      <c r="F1240" s="32" t="s">
        <v>78</v>
      </c>
      <c r="G1240" s="41">
        <v>633</v>
      </c>
      <c r="H1240" s="4" t="s">
        <v>129</v>
      </c>
      <c r="I1240" s="71">
        <v>3870</v>
      </c>
      <c r="J1240" s="71">
        <v>829</v>
      </c>
      <c r="K1240" s="190">
        <f t="shared" si="102"/>
        <v>21.421188630490956</v>
      </c>
      <c r="L1240" s="178"/>
      <c r="M1240" s="71"/>
      <c r="N1240" s="71"/>
      <c r="O1240" s="189"/>
      <c r="P1240" s="178"/>
      <c r="Q1240" s="71">
        <f t="shared" si="103"/>
        <v>3870</v>
      </c>
      <c r="R1240" s="71">
        <f t="shared" si="106"/>
        <v>829</v>
      </c>
      <c r="S1240" s="188">
        <f t="shared" si="104"/>
        <v>21.421188630490956</v>
      </c>
    </row>
    <row r="1241" spans="2:19" ht="12.75">
      <c r="B1241" s="94">
        <f t="shared" si="105"/>
        <v>695</v>
      </c>
      <c r="C1241" s="4"/>
      <c r="D1241" s="4"/>
      <c r="E1241" s="4"/>
      <c r="F1241" s="32" t="s">
        <v>78</v>
      </c>
      <c r="G1241" s="41">
        <v>635</v>
      </c>
      <c r="H1241" s="4" t="s">
        <v>136</v>
      </c>
      <c r="I1241" s="71">
        <v>820</v>
      </c>
      <c r="J1241" s="71">
        <v>646</v>
      </c>
      <c r="K1241" s="190">
        <f t="shared" si="102"/>
        <v>78.78048780487805</v>
      </c>
      <c r="L1241" s="178"/>
      <c r="M1241" s="71"/>
      <c r="N1241" s="71"/>
      <c r="O1241" s="189"/>
      <c r="P1241" s="178"/>
      <c r="Q1241" s="71">
        <f t="shared" si="103"/>
        <v>820</v>
      </c>
      <c r="R1241" s="71">
        <f t="shared" si="106"/>
        <v>646</v>
      </c>
      <c r="S1241" s="188">
        <f t="shared" si="104"/>
        <v>78.78048780487805</v>
      </c>
    </row>
    <row r="1242" spans="2:19" ht="12.75">
      <c r="B1242" s="94">
        <f t="shared" si="105"/>
        <v>696</v>
      </c>
      <c r="C1242" s="4"/>
      <c r="D1242" s="4"/>
      <c r="E1242" s="4"/>
      <c r="F1242" s="32" t="s">
        <v>78</v>
      </c>
      <c r="G1242" s="41">
        <v>637</v>
      </c>
      <c r="H1242" s="4" t="s">
        <v>126</v>
      </c>
      <c r="I1242" s="71">
        <v>3675</v>
      </c>
      <c r="J1242" s="71">
        <v>1363</v>
      </c>
      <c r="K1242" s="190">
        <f t="shared" si="102"/>
        <v>37.08843537414966</v>
      </c>
      <c r="L1242" s="178"/>
      <c r="M1242" s="71"/>
      <c r="N1242" s="71"/>
      <c r="O1242" s="189"/>
      <c r="P1242" s="178"/>
      <c r="Q1242" s="71">
        <f t="shared" si="103"/>
        <v>3675</v>
      </c>
      <c r="R1242" s="71">
        <f t="shared" si="106"/>
        <v>1363</v>
      </c>
      <c r="S1242" s="188">
        <f t="shared" si="104"/>
        <v>37.08843537414966</v>
      </c>
    </row>
    <row r="1243" spans="2:19" ht="12.75">
      <c r="B1243" s="94">
        <f t="shared" si="105"/>
        <v>697</v>
      </c>
      <c r="C1243" s="3"/>
      <c r="D1243" s="3"/>
      <c r="E1243" s="3"/>
      <c r="F1243" s="92" t="s">
        <v>78</v>
      </c>
      <c r="G1243" s="93">
        <v>640</v>
      </c>
      <c r="H1243" s="3" t="s">
        <v>132</v>
      </c>
      <c r="I1243" s="70">
        <v>150</v>
      </c>
      <c r="J1243" s="70">
        <v>143</v>
      </c>
      <c r="K1243" s="190">
        <f t="shared" si="102"/>
        <v>95.33333333333334</v>
      </c>
      <c r="L1243" s="177"/>
      <c r="M1243" s="70"/>
      <c r="N1243" s="70"/>
      <c r="O1243" s="189"/>
      <c r="P1243" s="177"/>
      <c r="Q1243" s="70">
        <f t="shared" si="103"/>
        <v>150</v>
      </c>
      <c r="R1243" s="70">
        <f t="shared" si="106"/>
        <v>143</v>
      </c>
      <c r="S1243" s="188">
        <f t="shared" si="104"/>
        <v>95.33333333333334</v>
      </c>
    </row>
    <row r="1244" spans="2:19" ht="12.75">
      <c r="B1244" s="94">
        <f t="shared" si="105"/>
        <v>698</v>
      </c>
      <c r="C1244" s="3"/>
      <c r="D1244" s="3"/>
      <c r="E1244" s="3"/>
      <c r="F1244" s="92" t="s">
        <v>46</v>
      </c>
      <c r="G1244" s="93">
        <v>610</v>
      </c>
      <c r="H1244" s="3" t="s">
        <v>134</v>
      </c>
      <c r="I1244" s="70">
        <v>81716</v>
      </c>
      <c r="J1244" s="70">
        <v>28805</v>
      </c>
      <c r="K1244" s="190">
        <f t="shared" si="102"/>
        <v>35.25013461256057</v>
      </c>
      <c r="L1244" s="177"/>
      <c r="M1244" s="70"/>
      <c r="N1244" s="70"/>
      <c r="O1244" s="189"/>
      <c r="P1244" s="177"/>
      <c r="Q1244" s="70">
        <f t="shared" si="103"/>
        <v>81716</v>
      </c>
      <c r="R1244" s="70">
        <f t="shared" si="106"/>
        <v>28805</v>
      </c>
      <c r="S1244" s="188">
        <f t="shared" si="104"/>
        <v>35.25013461256057</v>
      </c>
    </row>
    <row r="1245" spans="2:19" ht="12.75">
      <c r="B1245" s="94">
        <f t="shared" si="105"/>
        <v>699</v>
      </c>
      <c r="C1245" s="3"/>
      <c r="D1245" s="3"/>
      <c r="E1245" s="3"/>
      <c r="F1245" s="92" t="s">
        <v>46</v>
      </c>
      <c r="G1245" s="93">
        <v>620</v>
      </c>
      <c r="H1245" s="3" t="s">
        <v>128</v>
      </c>
      <c r="I1245" s="70">
        <v>28800</v>
      </c>
      <c r="J1245" s="70">
        <v>8546</v>
      </c>
      <c r="K1245" s="190">
        <f t="shared" si="102"/>
        <v>29.673611111111107</v>
      </c>
      <c r="L1245" s="177"/>
      <c r="M1245" s="70"/>
      <c r="N1245" s="70"/>
      <c r="O1245" s="189"/>
      <c r="P1245" s="177"/>
      <c r="Q1245" s="70">
        <f t="shared" si="103"/>
        <v>28800</v>
      </c>
      <c r="R1245" s="70">
        <f t="shared" si="106"/>
        <v>8546</v>
      </c>
      <c r="S1245" s="188">
        <f t="shared" si="104"/>
        <v>29.673611111111107</v>
      </c>
    </row>
    <row r="1246" spans="2:19" ht="12.75">
      <c r="B1246" s="94">
        <f t="shared" si="105"/>
        <v>700</v>
      </c>
      <c r="C1246" s="3"/>
      <c r="D1246" s="3"/>
      <c r="E1246" s="3"/>
      <c r="F1246" s="92" t="s">
        <v>46</v>
      </c>
      <c r="G1246" s="93">
        <v>630</v>
      </c>
      <c r="H1246" s="3" t="s">
        <v>125</v>
      </c>
      <c r="I1246" s="70">
        <f>SUM(I1247:I1251)</f>
        <v>160076</v>
      </c>
      <c r="J1246" s="70">
        <f>SUM(J1247:J1251)</f>
        <v>43985</v>
      </c>
      <c r="K1246" s="190">
        <f t="shared" si="102"/>
        <v>27.477573152752445</v>
      </c>
      <c r="L1246" s="177"/>
      <c r="M1246" s="70"/>
      <c r="N1246" s="70"/>
      <c r="O1246" s="189"/>
      <c r="P1246" s="177"/>
      <c r="Q1246" s="70">
        <f t="shared" si="103"/>
        <v>160076</v>
      </c>
      <c r="R1246" s="70">
        <f t="shared" si="106"/>
        <v>43985</v>
      </c>
      <c r="S1246" s="188">
        <f t="shared" si="104"/>
        <v>27.477573152752445</v>
      </c>
    </row>
    <row r="1247" spans="2:19" ht="12.75">
      <c r="B1247" s="94">
        <f t="shared" si="105"/>
        <v>701</v>
      </c>
      <c r="C1247" s="4"/>
      <c r="D1247" s="4"/>
      <c r="E1247" s="4"/>
      <c r="F1247" s="32" t="s">
        <v>46</v>
      </c>
      <c r="G1247" s="41">
        <v>631</v>
      </c>
      <c r="H1247" s="4" t="s">
        <v>131</v>
      </c>
      <c r="I1247" s="71">
        <v>8</v>
      </c>
      <c r="J1247" s="71">
        <v>0</v>
      </c>
      <c r="K1247" s="190">
        <f t="shared" si="102"/>
        <v>0</v>
      </c>
      <c r="L1247" s="178"/>
      <c r="M1247" s="71"/>
      <c r="N1247" s="71"/>
      <c r="O1247" s="189"/>
      <c r="P1247" s="178"/>
      <c r="Q1247" s="71">
        <f t="shared" si="103"/>
        <v>8</v>
      </c>
      <c r="R1247" s="71">
        <f t="shared" si="106"/>
        <v>0</v>
      </c>
      <c r="S1247" s="188">
        <f t="shared" si="104"/>
        <v>0</v>
      </c>
    </row>
    <row r="1248" spans="2:19" ht="12.75">
      <c r="B1248" s="94">
        <f t="shared" si="105"/>
        <v>702</v>
      </c>
      <c r="C1248" s="4"/>
      <c r="D1248" s="4"/>
      <c r="E1248" s="4"/>
      <c r="F1248" s="32" t="s">
        <v>46</v>
      </c>
      <c r="G1248" s="41">
        <v>632</v>
      </c>
      <c r="H1248" s="4" t="s">
        <v>138</v>
      </c>
      <c r="I1248" s="71">
        <v>10973</v>
      </c>
      <c r="J1248" s="71">
        <v>88</v>
      </c>
      <c r="K1248" s="190">
        <f t="shared" si="102"/>
        <v>0.8019684680579604</v>
      </c>
      <c r="L1248" s="178"/>
      <c r="M1248" s="71"/>
      <c r="N1248" s="71"/>
      <c r="O1248" s="189"/>
      <c r="P1248" s="178"/>
      <c r="Q1248" s="71">
        <f t="shared" si="103"/>
        <v>10973</v>
      </c>
      <c r="R1248" s="71">
        <f t="shared" si="106"/>
        <v>88</v>
      </c>
      <c r="S1248" s="188">
        <f t="shared" si="104"/>
        <v>0.8019684680579604</v>
      </c>
    </row>
    <row r="1249" spans="2:19" ht="12.75">
      <c r="B1249" s="94">
        <f t="shared" si="105"/>
        <v>703</v>
      </c>
      <c r="C1249" s="4"/>
      <c r="D1249" s="4"/>
      <c r="E1249" s="4"/>
      <c r="F1249" s="32" t="s">
        <v>46</v>
      </c>
      <c r="G1249" s="41">
        <v>633</v>
      </c>
      <c r="H1249" s="4" t="s">
        <v>129</v>
      </c>
      <c r="I1249" s="71">
        <v>141309</v>
      </c>
      <c r="J1249" s="71">
        <v>42370</v>
      </c>
      <c r="K1249" s="190">
        <f t="shared" si="102"/>
        <v>29.98393591349454</v>
      </c>
      <c r="L1249" s="178"/>
      <c r="M1249" s="71"/>
      <c r="N1249" s="71"/>
      <c r="O1249" s="189"/>
      <c r="P1249" s="178"/>
      <c r="Q1249" s="71">
        <f t="shared" si="103"/>
        <v>141309</v>
      </c>
      <c r="R1249" s="71">
        <f t="shared" si="106"/>
        <v>42370</v>
      </c>
      <c r="S1249" s="188">
        <f t="shared" si="104"/>
        <v>29.98393591349454</v>
      </c>
    </row>
    <row r="1250" spans="2:19" ht="12.75">
      <c r="B1250" s="94">
        <f t="shared" si="105"/>
        <v>704</v>
      </c>
      <c r="C1250" s="4"/>
      <c r="D1250" s="4"/>
      <c r="E1250" s="4"/>
      <c r="F1250" s="32" t="s">
        <v>46</v>
      </c>
      <c r="G1250" s="41">
        <v>635</v>
      </c>
      <c r="H1250" s="4" t="s">
        <v>136</v>
      </c>
      <c r="I1250" s="71">
        <v>1230</v>
      </c>
      <c r="J1250" s="71">
        <v>0</v>
      </c>
      <c r="K1250" s="190">
        <f t="shared" si="102"/>
        <v>0</v>
      </c>
      <c r="L1250" s="178"/>
      <c r="M1250" s="71"/>
      <c r="N1250" s="71"/>
      <c r="O1250" s="189"/>
      <c r="P1250" s="178"/>
      <c r="Q1250" s="71">
        <f t="shared" si="103"/>
        <v>1230</v>
      </c>
      <c r="R1250" s="71">
        <f t="shared" si="106"/>
        <v>0</v>
      </c>
      <c r="S1250" s="188">
        <f t="shared" si="104"/>
        <v>0</v>
      </c>
    </row>
    <row r="1251" spans="2:19" ht="12.75">
      <c r="B1251" s="94">
        <f t="shared" si="105"/>
        <v>705</v>
      </c>
      <c r="C1251" s="4"/>
      <c r="D1251" s="4"/>
      <c r="E1251" s="4"/>
      <c r="F1251" s="32" t="s">
        <v>46</v>
      </c>
      <c r="G1251" s="41">
        <v>637</v>
      </c>
      <c r="H1251" s="4" t="s">
        <v>126</v>
      </c>
      <c r="I1251" s="71">
        <v>6556</v>
      </c>
      <c r="J1251" s="71">
        <v>1527</v>
      </c>
      <c r="K1251" s="190">
        <f t="shared" si="102"/>
        <v>23.291641244661378</v>
      </c>
      <c r="L1251" s="178"/>
      <c r="M1251" s="71"/>
      <c r="N1251" s="71"/>
      <c r="O1251" s="189"/>
      <c r="P1251" s="178"/>
      <c r="Q1251" s="71">
        <f t="shared" si="103"/>
        <v>6556</v>
      </c>
      <c r="R1251" s="71">
        <f t="shared" si="106"/>
        <v>1527</v>
      </c>
      <c r="S1251" s="188">
        <f t="shared" si="104"/>
        <v>23.291641244661378</v>
      </c>
    </row>
    <row r="1252" spans="2:19" ht="12.75">
      <c r="B1252" s="94">
        <f t="shared" si="105"/>
        <v>706</v>
      </c>
      <c r="C1252" s="3"/>
      <c r="D1252" s="3"/>
      <c r="E1252" s="3"/>
      <c r="F1252" s="92" t="s">
        <v>46</v>
      </c>
      <c r="G1252" s="93">
        <v>640</v>
      </c>
      <c r="H1252" s="3" t="s">
        <v>132</v>
      </c>
      <c r="I1252" s="70">
        <v>390</v>
      </c>
      <c r="J1252" s="70">
        <v>41</v>
      </c>
      <c r="K1252" s="190">
        <f t="shared" si="102"/>
        <v>10.512820512820513</v>
      </c>
      <c r="L1252" s="177"/>
      <c r="M1252" s="70"/>
      <c r="N1252" s="70"/>
      <c r="O1252" s="189"/>
      <c r="P1252" s="177"/>
      <c r="Q1252" s="70">
        <f t="shared" si="103"/>
        <v>390</v>
      </c>
      <c r="R1252" s="70">
        <f t="shared" si="106"/>
        <v>41</v>
      </c>
      <c r="S1252" s="188">
        <f t="shared" si="104"/>
        <v>10.512820512820513</v>
      </c>
    </row>
    <row r="1253" spans="2:19" ht="15">
      <c r="B1253" s="94">
        <f t="shared" si="105"/>
        <v>707</v>
      </c>
      <c r="C1253" s="12"/>
      <c r="D1253" s="12"/>
      <c r="E1253" s="12">
        <v>12</v>
      </c>
      <c r="F1253" s="35"/>
      <c r="G1253" s="43"/>
      <c r="H1253" s="12" t="s">
        <v>7</v>
      </c>
      <c r="I1253" s="82">
        <f>I1254+I1255+I1256+I1261+I1262+I1263+I1264+I1270</f>
        <v>364120</v>
      </c>
      <c r="J1253" s="82">
        <f>J1254+J1255+J1256+J1261+J1262+J1263+J1264+J1270</f>
        <v>133698</v>
      </c>
      <c r="K1253" s="190">
        <f t="shared" si="102"/>
        <v>36.71811490717346</v>
      </c>
      <c r="L1253" s="182"/>
      <c r="M1253" s="82"/>
      <c r="N1253" s="82"/>
      <c r="O1253" s="189"/>
      <c r="P1253" s="182"/>
      <c r="Q1253" s="82">
        <f t="shared" si="103"/>
        <v>364120</v>
      </c>
      <c r="R1253" s="82">
        <f t="shared" si="106"/>
        <v>133698</v>
      </c>
      <c r="S1253" s="188">
        <f t="shared" si="104"/>
        <v>36.71811490717346</v>
      </c>
    </row>
    <row r="1254" spans="2:19" ht="12.75">
      <c r="B1254" s="94">
        <f t="shared" si="105"/>
        <v>708</v>
      </c>
      <c r="C1254" s="3"/>
      <c r="D1254" s="3"/>
      <c r="E1254" s="3"/>
      <c r="F1254" s="92" t="s">
        <v>78</v>
      </c>
      <c r="G1254" s="93">
        <v>610</v>
      </c>
      <c r="H1254" s="3" t="s">
        <v>134</v>
      </c>
      <c r="I1254" s="70">
        <v>56550</v>
      </c>
      <c r="J1254" s="70">
        <v>37539</v>
      </c>
      <c r="K1254" s="190">
        <f t="shared" si="102"/>
        <v>66.38196286472149</v>
      </c>
      <c r="L1254" s="177"/>
      <c r="M1254" s="70"/>
      <c r="N1254" s="70"/>
      <c r="O1254" s="189"/>
      <c r="P1254" s="177"/>
      <c r="Q1254" s="70">
        <f t="shared" si="103"/>
        <v>56550</v>
      </c>
      <c r="R1254" s="70">
        <f t="shared" si="106"/>
        <v>37539</v>
      </c>
      <c r="S1254" s="188">
        <f t="shared" si="104"/>
        <v>66.38196286472149</v>
      </c>
    </row>
    <row r="1255" spans="2:19" ht="12.75">
      <c r="B1255" s="94">
        <f t="shared" si="105"/>
        <v>709</v>
      </c>
      <c r="C1255" s="3"/>
      <c r="D1255" s="3"/>
      <c r="E1255" s="3"/>
      <c r="F1255" s="92" t="s">
        <v>78</v>
      </c>
      <c r="G1255" s="93">
        <v>620</v>
      </c>
      <c r="H1255" s="3" t="s">
        <v>128</v>
      </c>
      <c r="I1255" s="70">
        <v>21030</v>
      </c>
      <c r="J1255" s="70">
        <v>13366</v>
      </c>
      <c r="K1255" s="190">
        <f aca="true" t="shared" si="107" ref="K1255:K1316">J1255/I1255*100</f>
        <v>63.55682358535426</v>
      </c>
      <c r="L1255" s="177"/>
      <c r="M1255" s="70"/>
      <c r="N1255" s="70"/>
      <c r="O1255" s="189"/>
      <c r="P1255" s="177"/>
      <c r="Q1255" s="70">
        <f aca="true" t="shared" si="108" ref="Q1255:Q1316">M1255+I1255</f>
        <v>21030</v>
      </c>
      <c r="R1255" s="70">
        <f t="shared" si="106"/>
        <v>13366</v>
      </c>
      <c r="S1255" s="188">
        <f aca="true" t="shared" si="109" ref="S1255:S1316">R1255/Q1255*100</f>
        <v>63.55682358535426</v>
      </c>
    </row>
    <row r="1256" spans="2:19" ht="12.75">
      <c r="B1256" s="94">
        <f t="shared" si="105"/>
        <v>710</v>
      </c>
      <c r="C1256" s="3"/>
      <c r="D1256" s="3"/>
      <c r="E1256" s="3"/>
      <c r="F1256" s="92" t="s">
        <v>78</v>
      </c>
      <c r="G1256" s="93">
        <v>630</v>
      </c>
      <c r="H1256" s="3" t="s">
        <v>125</v>
      </c>
      <c r="I1256" s="70">
        <f>SUM(I1257:I1260)</f>
        <v>111320</v>
      </c>
      <c r="J1256" s="70">
        <f>SUM(J1257:J1260)</f>
        <v>53397</v>
      </c>
      <c r="K1256" s="190">
        <f t="shared" si="107"/>
        <v>47.96712181099533</v>
      </c>
      <c r="L1256" s="177"/>
      <c r="M1256" s="70"/>
      <c r="N1256" s="70"/>
      <c r="O1256" s="189"/>
      <c r="P1256" s="177"/>
      <c r="Q1256" s="70">
        <f t="shared" si="108"/>
        <v>111320</v>
      </c>
      <c r="R1256" s="70">
        <f t="shared" si="106"/>
        <v>53397</v>
      </c>
      <c r="S1256" s="188">
        <f t="shared" si="109"/>
        <v>47.96712181099533</v>
      </c>
    </row>
    <row r="1257" spans="2:19" ht="12.75">
      <c r="B1257" s="94">
        <f aca="true" t="shared" si="110" ref="B1257:B1318">B1256+1</f>
        <v>711</v>
      </c>
      <c r="C1257" s="4"/>
      <c r="D1257" s="4"/>
      <c r="E1257" s="4"/>
      <c r="F1257" s="32" t="s">
        <v>78</v>
      </c>
      <c r="G1257" s="41">
        <v>632</v>
      </c>
      <c r="H1257" s="4" t="s">
        <v>138</v>
      </c>
      <c r="I1257" s="71">
        <v>8500</v>
      </c>
      <c r="J1257" s="71">
        <v>6991</v>
      </c>
      <c r="K1257" s="190">
        <f t="shared" si="107"/>
        <v>82.2470588235294</v>
      </c>
      <c r="L1257" s="178"/>
      <c r="M1257" s="71"/>
      <c r="N1257" s="71"/>
      <c r="O1257" s="189"/>
      <c r="P1257" s="178"/>
      <c r="Q1257" s="71">
        <f t="shared" si="108"/>
        <v>8500</v>
      </c>
      <c r="R1257" s="71">
        <f t="shared" si="106"/>
        <v>6991</v>
      </c>
      <c r="S1257" s="188">
        <f t="shared" si="109"/>
        <v>82.2470588235294</v>
      </c>
    </row>
    <row r="1258" spans="2:19" ht="12.75">
      <c r="B1258" s="94">
        <f t="shared" si="110"/>
        <v>712</v>
      </c>
      <c r="C1258" s="4"/>
      <c r="D1258" s="4"/>
      <c r="E1258" s="4"/>
      <c r="F1258" s="32" t="s">
        <v>78</v>
      </c>
      <c r="G1258" s="41">
        <v>633</v>
      </c>
      <c r="H1258" s="4" t="s">
        <v>129</v>
      </c>
      <c r="I1258" s="71">
        <v>78000</v>
      </c>
      <c r="J1258" s="71">
        <v>43267</v>
      </c>
      <c r="K1258" s="190">
        <f t="shared" si="107"/>
        <v>55.470512820512816</v>
      </c>
      <c r="L1258" s="178"/>
      <c r="M1258" s="71"/>
      <c r="N1258" s="71"/>
      <c r="O1258" s="189"/>
      <c r="P1258" s="178"/>
      <c r="Q1258" s="71">
        <f t="shared" si="108"/>
        <v>78000</v>
      </c>
      <c r="R1258" s="71">
        <f t="shared" si="106"/>
        <v>43267</v>
      </c>
      <c r="S1258" s="188">
        <f t="shared" si="109"/>
        <v>55.470512820512816</v>
      </c>
    </row>
    <row r="1259" spans="2:19" ht="12.75">
      <c r="B1259" s="94">
        <f t="shared" si="110"/>
        <v>713</v>
      </c>
      <c r="C1259" s="4"/>
      <c r="D1259" s="4"/>
      <c r="E1259" s="4"/>
      <c r="F1259" s="32" t="s">
        <v>78</v>
      </c>
      <c r="G1259" s="41">
        <v>635</v>
      </c>
      <c r="H1259" s="4" t="s">
        <v>136</v>
      </c>
      <c r="I1259" s="71">
        <v>2000</v>
      </c>
      <c r="J1259" s="71">
        <v>1000</v>
      </c>
      <c r="K1259" s="190">
        <f t="shared" si="107"/>
        <v>50</v>
      </c>
      <c r="L1259" s="178"/>
      <c r="M1259" s="71"/>
      <c r="N1259" s="71"/>
      <c r="O1259" s="189"/>
      <c r="P1259" s="178"/>
      <c r="Q1259" s="71">
        <f t="shared" si="108"/>
        <v>2000</v>
      </c>
      <c r="R1259" s="71">
        <f t="shared" si="106"/>
        <v>1000</v>
      </c>
      <c r="S1259" s="188">
        <f t="shared" si="109"/>
        <v>50</v>
      </c>
    </row>
    <row r="1260" spans="2:19" ht="12.75">
      <c r="B1260" s="94">
        <f t="shared" si="110"/>
        <v>714</v>
      </c>
      <c r="C1260" s="4"/>
      <c r="D1260" s="4"/>
      <c r="E1260" s="4"/>
      <c r="F1260" s="32" t="s">
        <v>78</v>
      </c>
      <c r="G1260" s="41">
        <v>637</v>
      </c>
      <c r="H1260" s="4" t="s">
        <v>126</v>
      </c>
      <c r="I1260" s="71">
        <v>22820</v>
      </c>
      <c r="J1260" s="71">
        <v>2139</v>
      </c>
      <c r="K1260" s="190">
        <f t="shared" si="107"/>
        <v>9.37335670464505</v>
      </c>
      <c r="L1260" s="178"/>
      <c r="M1260" s="71"/>
      <c r="N1260" s="71"/>
      <c r="O1260" s="189"/>
      <c r="P1260" s="178"/>
      <c r="Q1260" s="71">
        <f t="shared" si="108"/>
        <v>22820</v>
      </c>
      <c r="R1260" s="71">
        <f t="shared" si="106"/>
        <v>2139</v>
      </c>
      <c r="S1260" s="188">
        <f t="shared" si="109"/>
        <v>9.37335670464505</v>
      </c>
    </row>
    <row r="1261" spans="2:19" ht="12.75">
      <c r="B1261" s="94">
        <f t="shared" si="110"/>
        <v>715</v>
      </c>
      <c r="C1261" s="3"/>
      <c r="D1261" s="3"/>
      <c r="E1261" s="3"/>
      <c r="F1261" s="92" t="s">
        <v>78</v>
      </c>
      <c r="G1261" s="93">
        <v>640</v>
      </c>
      <c r="H1261" s="3" t="s">
        <v>132</v>
      </c>
      <c r="I1261" s="70">
        <v>500</v>
      </c>
      <c r="J1261" s="70">
        <v>212</v>
      </c>
      <c r="K1261" s="190">
        <f t="shared" si="107"/>
        <v>42.4</v>
      </c>
      <c r="L1261" s="177"/>
      <c r="M1261" s="70"/>
      <c r="N1261" s="70"/>
      <c r="O1261" s="189"/>
      <c r="P1261" s="177"/>
      <c r="Q1261" s="70">
        <f t="shared" si="108"/>
        <v>500</v>
      </c>
      <c r="R1261" s="70">
        <f t="shared" si="106"/>
        <v>212</v>
      </c>
      <c r="S1261" s="188">
        <f t="shared" si="109"/>
        <v>42.4</v>
      </c>
    </row>
    <row r="1262" spans="2:19" ht="12.75">
      <c r="B1262" s="94">
        <f t="shared" si="110"/>
        <v>716</v>
      </c>
      <c r="C1262" s="3"/>
      <c r="D1262" s="3"/>
      <c r="E1262" s="3"/>
      <c r="F1262" s="92" t="s">
        <v>46</v>
      </c>
      <c r="G1262" s="93">
        <v>610</v>
      </c>
      <c r="H1262" s="3" t="s">
        <v>134</v>
      </c>
      <c r="I1262" s="70">
        <v>56500</v>
      </c>
      <c r="J1262" s="70">
        <v>0</v>
      </c>
      <c r="K1262" s="190">
        <f t="shared" si="107"/>
        <v>0</v>
      </c>
      <c r="L1262" s="177"/>
      <c r="M1262" s="70"/>
      <c r="N1262" s="70"/>
      <c r="O1262" s="189"/>
      <c r="P1262" s="177"/>
      <c r="Q1262" s="70">
        <f t="shared" si="108"/>
        <v>56500</v>
      </c>
      <c r="R1262" s="70">
        <f t="shared" si="106"/>
        <v>0</v>
      </c>
      <c r="S1262" s="188">
        <f t="shared" si="109"/>
        <v>0</v>
      </c>
    </row>
    <row r="1263" spans="2:19" ht="12.75">
      <c r="B1263" s="94">
        <f t="shared" si="110"/>
        <v>717</v>
      </c>
      <c r="C1263" s="3"/>
      <c r="D1263" s="3"/>
      <c r="E1263" s="3"/>
      <c r="F1263" s="92" t="s">
        <v>46</v>
      </c>
      <c r="G1263" s="93">
        <v>620</v>
      </c>
      <c r="H1263" s="3" t="s">
        <v>128</v>
      </c>
      <c r="I1263" s="70">
        <v>21030</v>
      </c>
      <c r="J1263" s="70">
        <v>0</v>
      </c>
      <c r="K1263" s="190">
        <f t="shared" si="107"/>
        <v>0</v>
      </c>
      <c r="L1263" s="177"/>
      <c r="M1263" s="70"/>
      <c r="N1263" s="70"/>
      <c r="O1263" s="189"/>
      <c r="P1263" s="177"/>
      <c r="Q1263" s="70">
        <f t="shared" si="108"/>
        <v>21030</v>
      </c>
      <c r="R1263" s="70">
        <f t="shared" si="106"/>
        <v>0</v>
      </c>
      <c r="S1263" s="188">
        <f t="shared" si="109"/>
        <v>0</v>
      </c>
    </row>
    <row r="1264" spans="2:19" ht="12.75">
      <c r="B1264" s="94">
        <f t="shared" si="110"/>
        <v>718</v>
      </c>
      <c r="C1264" s="3"/>
      <c r="D1264" s="3"/>
      <c r="E1264" s="3"/>
      <c r="F1264" s="92" t="s">
        <v>46</v>
      </c>
      <c r="G1264" s="93">
        <v>630</v>
      </c>
      <c r="H1264" s="3" t="s">
        <v>125</v>
      </c>
      <c r="I1264" s="70">
        <f>SUM(I1265:I1269)</f>
        <v>94990</v>
      </c>
      <c r="J1264" s="70">
        <f>SUM(J1265:J1269)</f>
        <v>29184</v>
      </c>
      <c r="K1264" s="190">
        <f t="shared" si="107"/>
        <v>30.723234024634174</v>
      </c>
      <c r="L1264" s="177"/>
      <c r="M1264" s="70"/>
      <c r="N1264" s="70"/>
      <c r="O1264" s="189"/>
      <c r="P1264" s="177"/>
      <c r="Q1264" s="70">
        <f t="shared" si="108"/>
        <v>94990</v>
      </c>
      <c r="R1264" s="70">
        <f t="shared" si="106"/>
        <v>29184</v>
      </c>
      <c r="S1264" s="188">
        <f t="shared" si="109"/>
        <v>30.723234024634174</v>
      </c>
    </row>
    <row r="1265" spans="2:19" ht="12.75">
      <c r="B1265" s="94">
        <f t="shared" si="110"/>
        <v>719</v>
      </c>
      <c r="C1265" s="4"/>
      <c r="D1265" s="4"/>
      <c r="E1265" s="4"/>
      <c r="F1265" s="32" t="s">
        <v>46</v>
      </c>
      <c r="G1265" s="41">
        <v>631</v>
      </c>
      <c r="H1265" s="4" t="s">
        <v>131</v>
      </c>
      <c r="I1265" s="71">
        <v>50</v>
      </c>
      <c r="J1265" s="71">
        <v>0</v>
      </c>
      <c r="K1265" s="190">
        <f t="shared" si="107"/>
        <v>0</v>
      </c>
      <c r="L1265" s="178"/>
      <c r="M1265" s="71"/>
      <c r="N1265" s="71"/>
      <c r="O1265" s="189"/>
      <c r="P1265" s="178"/>
      <c r="Q1265" s="71">
        <f t="shared" si="108"/>
        <v>50</v>
      </c>
      <c r="R1265" s="71">
        <f t="shared" si="106"/>
        <v>0</v>
      </c>
      <c r="S1265" s="188">
        <f t="shared" si="109"/>
        <v>0</v>
      </c>
    </row>
    <row r="1266" spans="2:19" ht="12.75">
      <c r="B1266" s="94">
        <f t="shared" si="110"/>
        <v>720</v>
      </c>
      <c r="C1266" s="4"/>
      <c r="D1266" s="4"/>
      <c r="E1266" s="4"/>
      <c r="F1266" s="32" t="s">
        <v>46</v>
      </c>
      <c r="G1266" s="41">
        <v>632</v>
      </c>
      <c r="H1266" s="4" t="s">
        <v>138</v>
      </c>
      <c r="I1266" s="71">
        <v>9650</v>
      </c>
      <c r="J1266" s="71">
        <v>787</v>
      </c>
      <c r="K1266" s="190">
        <f t="shared" si="107"/>
        <v>8.155440414507773</v>
      </c>
      <c r="L1266" s="178"/>
      <c r="M1266" s="71"/>
      <c r="N1266" s="71"/>
      <c r="O1266" s="189"/>
      <c r="P1266" s="178"/>
      <c r="Q1266" s="71">
        <f t="shared" si="108"/>
        <v>9650</v>
      </c>
      <c r="R1266" s="71">
        <f t="shared" si="106"/>
        <v>787</v>
      </c>
      <c r="S1266" s="188">
        <f t="shared" si="109"/>
        <v>8.155440414507773</v>
      </c>
    </row>
    <row r="1267" spans="2:19" ht="12.75">
      <c r="B1267" s="94">
        <f t="shared" si="110"/>
        <v>721</v>
      </c>
      <c r="C1267" s="4"/>
      <c r="D1267" s="4"/>
      <c r="E1267" s="4"/>
      <c r="F1267" s="32" t="s">
        <v>46</v>
      </c>
      <c r="G1267" s="41">
        <v>633</v>
      </c>
      <c r="H1267" s="4" t="s">
        <v>129</v>
      </c>
      <c r="I1267" s="71">
        <v>77900</v>
      </c>
      <c r="J1267" s="71">
        <v>27392</v>
      </c>
      <c r="K1267" s="190">
        <f t="shared" si="107"/>
        <v>35.163029525032094</v>
      </c>
      <c r="L1267" s="178"/>
      <c r="M1267" s="71"/>
      <c r="N1267" s="71"/>
      <c r="O1267" s="189"/>
      <c r="P1267" s="178"/>
      <c r="Q1267" s="71">
        <f t="shared" si="108"/>
        <v>77900</v>
      </c>
      <c r="R1267" s="71">
        <f t="shared" si="106"/>
        <v>27392</v>
      </c>
      <c r="S1267" s="188">
        <f t="shared" si="109"/>
        <v>35.163029525032094</v>
      </c>
    </row>
    <row r="1268" spans="2:19" ht="12.75">
      <c r="B1268" s="94">
        <f t="shared" si="110"/>
        <v>722</v>
      </c>
      <c r="C1268" s="4"/>
      <c r="D1268" s="4"/>
      <c r="E1268" s="4"/>
      <c r="F1268" s="32" t="s">
        <v>46</v>
      </c>
      <c r="G1268" s="41">
        <v>635</v>
      </c>
      <c r="H1268" s="4" t="s">
        <v>136</v>
      </c>
      <c r="I1268" s="71">
        <v>4150</v>
      </c>
      <c r="J1268" s="71">
        <v>500</v>
      </c>
      <c r="K1268" s="190">
        <f t="shared" si="107"/>
        <v>12.048192771084338</v>
      </c>
      <c r="L1268" s="178"/>
      <c r="M1268" s="71"/>
      <c r="N1268" s="71"/>
      <c r="O1268" s="189"/>
      <c r="P1268" s="178"/>
      <c r="Q1268" s="71">
        <f t="shared" si="108"/>
        <v>4150</v>
      </c>
      <c r="R1268" s="71">
        <f t="shared" si="106"/>
        <v>500</v>
      </c>
      <c r="S1268" s="188">
        <f t="shared" si="109"/>
        <v>12.048192771084338</v>
      </c>
    </row>
    <row r="1269" spans="2:19" ht="12.75">
      <c r="B1269" s="94">
        <f t="shared" si="110"/>
        <v>723</v>
      </c>
      <c r="C1269" s="4"/>
      <c r="D1269" s="4"/>
      <c r="E1269" s="4"/>
      <c r="F1269" s="32" t="s">
        <v>46</v>
      </c>
      <c r="G1269" s="41">
        <v>637</v>
      </c>
      <c r="H1269" s="4" t="s">
        <v>126</v>
      </c>
      <c r="I1269" s="71">
        <v>3240</v>
      </c>
      <c r="J1269" s="71">
        <v>505</v>
      </c>
      <c r="K1269" s="190">
        <f t="shared" si="107"/>
        <v>15.58641975308642</v>
      </c>
      <c r="L1269" s="178"/>
      <c r="M1269" s="71"/>
      <c r="N1269" s="71"/>
      <c r="O1269" s="189"/>
      <c r="P1269" s="178"/>
      <c r="Q1269" s="71">
        <f t="shared" si="108"/>
        <v>3240</v>
      </c>
      <c r="R1269" s="71">
        <f t="shared" si="106"/>
        <v>505</v>
      </c>
      <c r="S1269" s="188">
        <f t="shared" si="109"/>
        <v>15.58641975308642</v>
      </c>
    </row>
    <row r="1270" spans="2:19" ht="12.75">
      <c r="B1270" s="94">
        <f t="shared" si="110"/>
        <v>724</v>
      </c>
      <c r="C1270" s="3"/>
      <c r="D1270" s="3"/>
      <c r="E1270" s="3"/>
      <c r="F1270" s="92" t="s">
        <v>46</v>
      </c>
      <c r="G1270" s="93">
        <v>640</v>
      </c>
      <c r="H1270" s="3" t="s">
        <v>132</v>
      </c>
      <c r="I1270" s="70">
        <v>2200</v>
      </c>
      <c r="J1270" s="70">
        <v>0</v>
      </c>
      <c r="K1270" s="190">
        <f t="shared" si="107"/>
        <v>0</v>
      </c>
      <c r="L1270" s="177"/>
      <c r="M1270" s="70"/>
      <c r="N1270" s="70"/>
      <c r="O1270" s="189"/>
      <c r="P1270" s="177"/>
      <c r="Q1270" s="70">
        <f t="shared" si="108"/>
        <v>2200</v>
      </c>
      <c r="R1270" s="70">
        <f t="shared" si="106"/>
        <v>0</v>
      </c>
      <c r="S1270" s="188">
        <f t="shared" si="109"/>
        <v>0</v>
      </c>
    </row>
    <row r="1271" spans="2:19" ht="15">
      <c r="B1271" s="94">
        <f t="shared" si="110"/>
        <v>725</v>
      </c>
      <c r="C1271" s="12"/>
      <c r="D1271" s="12"/>
      <c r="E1271" s="12">
        <v>13</v>
      </c>
      <c r="F1271" s="35"/>
      <c r="G1271" s="43"/>
      <c r="H1271" s="12" t="s">
        <v>16</v>
      </c>
      <c r="I1271" s="82">
        <f>I1272+I1274+I1275+I1276+I1281+I1282+I1283+I1284+I1289</f>
        <v>180599</v>
      </c>
      <c r="J1271" s="82">
        <f>J1272+J1274+J1275+J1276+J1281+J1282+J1283+J1284+J1289</f>
        <v>61890</v>
      </c>
      <c r="K1271" s="190">
        <f t="shared" si="107"/>
        <v>34.26929274248473</v>
      </c>
      <c r="L1271" s="182"/>
      <c r="M1271" s="82"/>
      <c r="N1271" s="82"/>
      <c r="O1271" s="189"/>
      <c r="P1271" s="182"/>
      <c r="Q1271" s="82">
        <f t="shared" si="108"/>
        <v>180599</v>
      </c>
      <c r="R1271" s="82">
        <f t="shared" si="106"/>
        <v>61890</v>
      </c>
      <c r="S1271" s="188">
        <f t="shared" si="109"/>
        <v>34.26929274248473</v>
      </c>
    </row>
    <row r="1272" spans="2:19" ht="12.75">
      <c r="B1272" s="94">
        <f t="shared" si="110"/>
        <v>726</v>
      </c>
      <c r="C1272" s="3"/>
      <c r="D1272" s="3"/>
      <c r="E1272" s="3"/>
      <c r="F1272" s="92" t="s">
        <v>164</v>
      </c>
      <c r="G1272" s="93">
        <v>630</v>
      </c>
      <c r="H1272" s="3" t="s">
        <v>125</v>
      </c>
      <c r="I1272" s="70">
        <f>I1273</f>
        <v>15895</v>
      </c>
      <c r="J1272" s="70">
        <f>J1273</f>
        <v>0</v>
      </c>
      <c r="K1272" s="190">
        <f t="shared" si="107"/>
        <v>0</v>
      </c>
      <c r="L1272" s="177"/>
      <c r="M1272" s="70"/>
      <c r="N1272" s="70"/>
      <c r="O1272" s="189"/>
      <c r="P1272" s="177"/>
      <c r="Q1272" s="70">
        <f t="shared" si="108"/>
        <v>15895</v>
      </c>
      <c r="R1272" s="70">
        <f t="shared" si="106"/>
        <v>0</v>
      </c>
      <c r="S1272" s="188">
        <f t="shared" si="109"/>
        <v>0</v>
      </c>
    </row>
    <row r="1273" spans="2:19" ht="12.75">
      <c r="B1273" s="94">
        <f t="shared" si="110"/>
        <v>727</v>
      </c>
      <c r="C1273" s="4"/>
      <c r="D1273" s="4"/>
      <c r="E1273" s="4"/>
      <c r="F1273" s="32" t="s">
        <v>164</v>
      </c>
      <c r="G1273" s="41">
        <v>633</v>
      </c>
      <c r="H1273" s="4" t="s">
        <v>129</v>
      </c>
      <c r="I1273" s="71">
        <v>15895</v>
      </c>
      <c r="J1273" s="71">
        <v>0</v>
      </c>
      <c r="K1273" s="190">
        <f t="shared" si="107"/>
        <v>0</v>
      </c>
      <c r="L1273" s="178"/>
      <c r="M1273" s="71"/>
      <c r="N1273" s="71"/>
      <c r="O1273" s="189"/>
      <c r="P1273" s="178"/>
      <c r="Q1273" s="71">
        <f t="shared" si="108"/>
        <v>15895</v>
      </c>
      <c r="R1273" s="71">
        <f t="shared" si="106"/>
        <v>0</v>
      </c>
      <c r="S1273" s="188">
        <f t="shared" si="109"/>
        <v>0</v>
      </c>
    </row>
    <row r="1274" spans="2:19" ht="12.75">
      <c r="B1274" s="94">
        <f t="shared" si="110"/>
        <v>728</v>
      </c>
      <c r="C1274" s="3"/>
      <c r="D1274" s="3"/>
      <c r="E1274" s="3"/>
      <c r="F1274" s="92" t="s">
        <v>78</v>
      </c>
      <c r="G1274" s="93">
        <v>610</v>
      </c>
      <c r="H1274" s="3" t="s">
        <v>134</v>
      </c>
      <c r="I1274" s="70">
        <v>27790</v>
      </c>
      <c r="J1274" s="70">
        <v>13217</v>
      </c>
      <c r="K1274" s="190">
        <f t="shared" si="107"/>
        <v>47.56027347966894</v>
      </c>
      <c r="L1274" s="177"/>
      <c r="M1274" s="70"/>
      <c r="N1274" s="70"/>
      <c r="O1274" s="189"/>
      <c r="P1274" s="177"/>
      <c r="Q1274" s="70">
        <f t="shared" si="108"/>
        <v>27790</v>
      </c>
      <c r="R1274" s="70">
        <f t="shared" si="106"/>
        <v>13217</v>
      </c>
      <c r="S1274" s="188">
        <f t="shared" si="109"/>
        <v>47.56027347966894</v>
      </c>
    </row>
    <row r="1275" spans="2:19" ht="12.75">
      <c r="B1275" s="94">
        <f t="shared" si="110"/>
        <v>729</v>
      </c>
      <c r="C1275" s="3"/>
      <c r="D1275" s="3"/>
      <c r="E1275" s="3"/>
      <c r="F1275" s="92" t="s">
        <v>78</v>
      </c>
      <c r="G1275" s="93">
        <v>620</v>
      </c>
      <c r="H1275" s="3" t="s">
        <v>128</v>
      </c>
      <c r="I1275" s="70">
        <v>9713</v>
      </c>
      <c r="J1275" s="70">
        <v>4615</v>
      </c>
      <c r="K1275" s="190">
        <f t="shared" si="107"/>
        <v>47.513641511376505</v>
      </c>
      <c r="L1275" s="177"/>
      <c r="M1275" s="70"/>
      <c r="N1275" s="70"/>
      <c r="O1275" s="189"/>
      <c r="P1275" s="177"/>
      <c r="Q1275" s="70">
        <f t="shared" si="108"/>
        <v>9713</v>
      </c>
      <c r="R1275" s="70">
        <f t="shared" si="106"/>
        <v>4615</v>
      </c>
      <c r="S1275" s="188">
        <f t="shared" si="109"/>
        <v>47.513641511376505</v>
      </c>
    </row>
    <row r="1276" spans="2:19" ht="12.75">
      <c r="B1276" s="94">
        <f t="shared" si="110"/>
        <v>730</v>
      </c>
      <c r="C1276" s="3"/>
      <c r="D1276" s="3"/>
      <c r="E1276" s="3"/>
      <c r="F1276" s="92" t="s">
        <v>78</v>
      </c>
      <c r="G1276" s="93">
        <v>630</v>
      </c>
      <c r="H1276" s="3" t="s">
        <v>125</v>
      </c>
      <c r="I1276" s="70">
        <f>SUM(I1277:I1280)</f>
        <v>15000</v>
      </c>
      <c r="J1276" s="70">
        <f>SUM(J1277:J1280)</f>
        <v>6059</v>
      </c>
      <c r="K1276" s="190">
        <f t="shared" si="107"/>
        <v>40.39333333333333</v>
      </c>
      <c r="L1276" s="177"/>
      <c r="M1276" s="70"/>
      <c r="N1276" s="70"/>
      <c r="O1276" s="189"/>
      <c r="P1276" s="177"/>
      <c r="Q1276" s="70">
        <f t="shared" si="108"/>
        <v>15000</v>
      </c>
      <c r="R1276" s="70">
        <f t="shared" si="106"/>
        <v>6059</v>
      </c>
      <c r="S1276" s="188">
        <f t="shared" si="109"/>
        <v>40.39333333333333</v>
      </c>
    </row>
    <row r="1277" spans="2:19" ht="12.75">
      <c r="B1277" s="94">
        <f t="shared" si="110"/>
        <v>731</v>
      </c>
      <c r="C1277" s="4"/>
      <c r="D1277" s="4"/>
      <c r="E1277" s="4"/>
      <c r="F1277" s="32" t="s">
        <v>78</v>
      </c>
      <c r="G1277" s="41">
        <v>632</v>
      </c>
      <c r="H1277" s="4" t="s">
        <v>138</v>
      </c>
      <c r="I1277" s="71">
        <v>8000</v>
      </c>
      <c r="J1277" s="71">
        <v>5427</v>
      </c>
      <c r="K1277" s="190">
        <f t="shared" si="107"/>
        <v>67.83749999999999</v>
      </c>
      <c r="L1277" s="178"/>
      <c r="M1277" s="71"/>
      <c r="N1277" s="71"/>
      <c r="O1277" s="189"/>
      <c r="P1277" s="178"/>
      <c r="Q1277" s="71">
        <f t="shared" si="108"/>
        <v>8000</v>
      </c>
      <c r="R1277" s="71">
        <f t="shared" si="106"/>
        <v>5427</v>
      </c>
      <c r="S1277" s="188">
        <f t="shared" si="109"/>
        <v>67.83749999999999</v>
      </c>
    </row>
    <row r="1278" spans="2:19" ht="12.75">
      <c r="B1278" s="94">
        <f t="shared" si="110"/>
        <v>732</v>
      </c>
      <c r="C1278" s="4"/>
      <c r="D1278" s="4"/>
      <c r="E1278" s="4"/>
      <c r="F1278" s="32" t="s">
        <v>78</v>
      </c>
      <c r="G1278" s="41">
        <v>633</v>
      </c>
      <c r="H1278" s="4" t="s">
        <v>129</v>
      </c>
      <c r="I1278" s="71">
        <v>3000</v>
      </c>
      <c r="J1278" s="71">
        <v>174</v>
      </c>
      <c r="K1278" s="190">
        <f t="shared" si="107"/>
        <v>5.800000000000001</v>
      </c>
      <c r="L1278" s="178"/>
      <c r="M1278" s="71"/>
      <c r="N1278" s="71"/>
      <c r="O1278" s="189"/>
      <c r="P1278" s="178"/>
      <c r="Q1278" s="71">
        <f t="shared" si="108"/>
        <v>3000</v>
      </c>
      <c r="R1278" s="71">
        <f t="shared" si="106"/>
        <v>174</v>
      </c>
      <c r="S1278" s="188">
        <f t="shared" si="109"/>
        <v>5.800000000000001</v>
      </c>
    </row>
    <row r="1279" spans="2:19" ht="12.75">
      <c r="B1279" s="94">
        <f t="shared" si="110"/>
        <v>733</v>
      </c>
      <c r="C1279" s="4"/>
      <c r="D1279" s="4"/>
      <c r="E1279" s="4"/>
      <c r="F1279" s="32" t="s">
        <v>78</v>
      </c>
      <c r="G1279" s="41">
        <v>635</v>
      </c>
      <c r="H1279" s="4" t="s">
        <v>136</v>
      </c>
      <c r="I1279" s="71">
        <v>1000</v>
      </c>
      <c r="J1279" s="71">
        <v>0</v>
      </c>
      <c r="K1279" s="190">
        <f t="shared" si="107"/>
        <v>0</v>
      </c>
      <c r="L1279" s="178"/>
      <c r="M1279" s="71"/>
      <c r="N1279" s="71"/>
      <c r="O1279" s="189"/>
      <c r="P1279" s="178"/>
      <c r="Q1279" s="71">
        <f t="shared" si="108"/>
        <v>1000</v>
      </c>
      <c r="R1279" s="71">
        <f t="shared" si="106"/>
        <v>0</v>
      </c>
      <c r="S1279" s="188">
        <f t="shared" si="109"/>
        <v>0</v>
      </c>
    </row>
    <row r="1280" spans="2:19" ht="12.75">
      <c r="B1280" s="94">
        <f t="shared" si="110"/>
        <v>734</v>
      </c>
      <c r="C1280" s="4"/>
      <c r="D1280" s="4"/>
      <c r="E1280" s="4"/>
      <c r="F1280" s="32" t="s">
        <v>78</v>
      </c>
      <c r="G1280" s="41">
        <v>637</v>
      </c>
      <c r="H1280" s="4" t="s">
        <v>126</v>
      </c>
      <c r="I1280" s="71">
        <v>3000</v>
      </c>
      <c r="J1280" s="71">
        <v>458</v>
      </c>
      <c r="K1280" s="190">
        <f t="shared" si="107"/>
        <v>15.266666666666667</v>
      </c>
      <c r="L1280" s="178"/>
      <c r="M1280" s="71"/>
      <c r="N1280" s="71"/>
      <c r="O1280" s="189"/>
      <c r="P1280" s="178"/>
      <c r="Q1280" s="71">
        <f t="shared" si="108"/>
        <v>3000</v>
      </c>
      <c r="R1280" s="71">
        <f t="shared" si="106"/>
        <v>458</v>
      </c>
      <c r="S1280" s="188">
        <f t="shared" si="109"/>
        <v>15.266666666666667</v>
      </c>
    </row>
    <row r="1281" spans="2:19" ht="12.75">
      <c r="B1281" s="94">
        <f t="shared" si="110"/>
        <v>735</v>
      </c>
      <c r="C1281" s="3"/>
      <c r="D1281" s="3"/>
      <c r="E1281" s="3"/>
      <c r="F1281" s="92" t="s">
        <v>78</v>
      </c>
      <c r="G1281" s="93">
        <v>640</v>
      </c>
      <c r="H1281" s="3" t="s">
        <v>132</v>
      </c>
      <c r="I1281" s="70">
        <v>300</v>
      </c>
      <c r="J1281" s="70">
        <v>122</v>
      </c>
      <c r="K1281" s="190">
        <f t="shared" si="107"/>
        <v>40.666666666666664</v>
      </c>
      <c r="L1281" s="177"/>
      <c r="M1281" s="70"/>
      <c r="N1281" s="70"/>
      <c r="O1281" s="189"/>
      <c r="P1281" s="177"/>
      <c r="Q1281" s="70">
        <f t="shared" si="108"/>
        <v>300</v>
      </c>
      <c r="R1281" s="70">
        <f t="shared" si="106"/>
        <v>122</v>
      </c>
      <c r="S1281" s="188">
        <f t="shared" si="109"/>
        <v>40.666666666666664</v>
      </c>
    </row>
    <row r="1282" spans="2:19" ht="12.75">
      <c r="B1282" s="94">
        <f t="shared" si="110"/>
        <v>736</v>
      </c>
      <c r="C1282" s="3"/>
      <c r="D1282" s="3"/>
      <c r="E1282" s="3"/>
      <c r="F1282" s="92" t="s">
        <v>46</v>
      </c>
      <c r="G1282" s="93">
        <v>610</v>
      </c>
      <c r="H1282" s="3" t="s">
        <v>134</v>
      </c>
      <c r="I1282" s="70">
        <v>35195</v>
      </c>
      <c r="J1282" s="70">
        <v>11242</v>
      </c>
      <c r="K1282" s="190">
        <f t="shared" si="107"/>
        <v>31.94203722119619</v>
      </c>
      <c r="L1282" s="177"/>
      <c r="M1282" s="70"/>
      <c r="N1282" s="70"/>
      <c r="O1282" s="189"/>
      <c r="P1282" s="177"/>
      <c r="Q1282" s="70">
        <f t="shared" si="108"/>
        <v>35195</v>
      </c>
      <c r="R1282" s="70">
        <f t="shared" si="106"/>
        <v>11242</v>
      </c>
      <c r="S1282" s="188">
        <f t="shared" si="109"/>
        <v>31.94203722119619</v>
      </c>
    </row>
    <row r="1283" spans="2:19" ht="12.75">
      <c r="B1283" s="94">
        <f t="shared" si="110"/>
        <v>737</v>
      </c>
      <c r="C1283" s="3"/>
      <c r="D1283" s="3"/>
      <c r="E1283" s="3"/>
      <c r="F1283" s="92" t="s">
        <v>46</v>
      </c>
      <c r="G1283" s="93">
        <v>620</v>
      </c>
      <c r="H1283" s="3" t="s">
        <v>128</v>
      </c>
      <c r="I1283" s="70">
        <v>12302</v>
      </c>
      <c r="J1283" s="70">
        <v>3937</v>
      </c>
      <c r="K1283" s="190">
        <f t="shared" si="107"/>
        <v>32.00292635343847</v>
      </c>
      <c r="L1283" s="177"/>
      <c r="M1283" s="70"/>
      <c r="N1283" s="70"/>
      <c r="O1283" s="189"/>
      <c r="P1283" s="177"/>
      <c r="Q1283" s="70">
        <f t="shared" si="108"/>
        <v>12302</v>
      </c>
      <c r="R1283" s="70">
        <f t="shared" si="106"/>
        <v>3937</v>
      </c>
      <c r="S1283" s="188">
        <f t="shared" si="109"/>
        <v>32.00292635343847</v>
      </c>
    </row>
    <row r="1284" spans="2:19" ht="12.75">
      <c r="B1284" s="94">
        <f t="shared" si="110"/>
        <v>738</v>
      </c>
      <c r="C1284" s="3"/>
      <c r="D1284" s="3"/>
      <c r="E1284" s="3"/>
      <c r="F1284" s="92" t="s">
        <v>46</v>
      </c>
      <c r="G1284" s="93">
        <v>630</v>
      </c>
      <c r="H1284" s="3" t="s">
        <v>125</v>
      </c>
      <c r="I1284" s="70">
        <f>SUM(I1285:I1288)</f>
        <v>64104</v>
      </c>
      <c r="J1284" s="70">
        <f>SUM(J1285:J1288)</f>
        <v>22698</v>
      </c>
      <c r="K1284" s="190">
        <f t="shared" si="107"/>
        <v>35.40808685885436</v>
      </c>
      <c r="L1284" s="177"/>
      <c r="M1284" s="70"/>
      <c r="N1284" s="70"/>
      <c r="O1284" s="189"/>
      <c r="P1284" s="177"/>
      <c r="Q1284" s="70">
        <f t="shared" si="108"/>
        <v>64104</v>
      </c>
      <c r="R1284" s="70">
        <f t="shared" si="106"/>
        <v>22698</v>
      </c>
      <c r="S1284" s="188">
        <f t="shared" si="109"/>
        <v>35.40808685885436</v>
      </c>
    </row>
    <row r="1285" spans="2:19" ht="12.75">
      <c r="B1285" s="94">
        <f t="shared" si="110"/>
        <v>739</v>
      </c>
      <c r="C1285" s="4"/>
      <c r="D1285" s="4"/>
      <c r="E1285" s="4"/>
      <c r="F1285" s="32" t="s">
        <v>46</v>
      </c>
      <c r="G1285" s="41">
        <v>632</v>
      </c>
      <c r="H1285" s="4" t="s">
        <v>138</v>
      </c>
      <c r="I1285" s="71">
        <v>6400</v>
      </c>
      <c r="J1285" s="71">
        <v>4244</v>
      </c>
      <c r="K1285" s="190">
        <f t="shared" si="107"/>
        <v>66.3125</v>
      </c>
      <c r="L1285" s="178"/>
      <c r="M1285" s="71"/>
      <c r="N1285" s="71"/>
      <c r="O1285" s="189"/>
      <c r="P1285" s="178"/>
      <c r="Q1285" s="71">
        <f t="shared" si="108"/>
        <v>6400</v>
      </c>
      <c r="R1285" s="71">
        <f t="shared" si="106"/>
        <v>4244</v>
      </c>
      <c r="S1285" s="188">
        <f t="shared" si="109"/>
        <v>66.3125</v>
      </c>
    </row>
    <row r="1286" spans="2:19" ht="12.75">
      <c r="B1286" s="94">
        <f t="shared" si="110"/>
        <v>740</v>
      </c>
      <c r="C1286" s="4"/>
      <c r="D1286" s="4"/>
      <c r="E1286" s="4"/>
      <c r="F1286" s="32" t="s">
        <v>46</v>
      </c>
      <c r="G1286" s="41">
        <v>633</v>
      </c>
      <c r="H1286" s="4" t="s">
        <v>129</v>
      </c>
      <c r="I1286" s="71">
        <v>51804</v>
      </c>
      <c r="J1286" s="71">
        <v>17193</v>
      </c>
      <c r="K1286" s="190">
        <f t="shared" si="107"/>
        <v>33.188556868195505</v>
      </c>
      <c r="L1286" s="178"/>
      <c r="M1286" s="71"/>
      <c r="N1286" s="71"/>
      <c r="O1286" s="189"/>
      <c r="P1286" s="178"/>
      <c r="Q1286" s="71">
        <f t="shared" si="108"/>
        <v>51804</v>
      </c>
      <c r="R1286" s="71">
        <f t="shared" si="106"/>
        <v>17193</v>
      </c>
      <c r="S1286" s="188">
        <f t="shared" si="109"/>
        <v>33.188556868195505</v>
      </c>
    </row>
    <row r="1287" spans="2:19" ht="12.75">
      <c r="B1287" s="94">
        <f t="shared" si="110"/>
        <v>741</v>
      </c>
      <c r="C1287" s="4"/>
      <c r="D1287" s="4"/>
      <c r="E1287" s="4"/>
      <c r="F1287" s="32" t="s">
        <v>46</v>
      </c>
      <c r="G1287" s="41">
        <v>635</v>
      </c>
      <c r="H1287" s="4" t="s">
        <v>136</v>
      </c>
      <c r="I1287" s="71">
        <v>3600</v>
      </c>
      <c r="J1287" s="71">
        <v>0</v>
      </c>
      <c r="K1287" s="190">
        <f t="shared" si="107"/>
        <v>0</v>
      </c>
      <c r="L1287" s="178"/>
      <c r="M1287" s="71"/>
      <c r="N1287" s="71"/>
      <c r="O1287" s="189"/>
      <c r="P1287" s="178"/>
      <c r="Q1287" s="71">
        <f t="shared" si="108"/>
        <v>3600</v>
      </c>
      <c r="R1287" s="71">
        <f t="shared" si="106"/>
        <v>0</v>
      </c>
      <c r="S1287" s="188">
        <f t="shared" si="109"/>
        <v>0</v>
      </c>
    </row>
    <row r="1288" spans="2:19" ht="12.75">
      <c r="B1288" s="94">
        <f t="shared" si="110"/>
        <v>742</v>
      </c>
      <c r="C1288" s="4"/>
      <c r="D1288" s="4"/>
      <c r="E1288" s="4"/>
      <c r="F1288" s="32" t="s">
        <v>46</v>
      </c>
      <c r="G1288" s="41">
        <v>637</v>
      </c>
      <c r="H1288" s="4" t="s">
        <v>126</v>
      </c>
      <c r="I1288" s="71">
        <v>2300</v>
      </c>
      <c r="J1288" s="71">
        <v>1261</v>
      </c>
      <c r="K1288" s="190">
        <f t="shared" si="107"/>
        <v>54.826086956521735</v>
      </c>
      <c r="L1288" s="178"/>
      <c r="M1288" s="71"/>
      <c r="N1288" s="71"/>
      <c r="O1288" s="189"/>
      <c r="P1288" s="178"/>
      <c r="Q1288" s="71">
        <f t="shared" si="108"/>
        <v>2300</v>
      </c>
      <c r="R1288" s="71">
        <f t="shared" si="106"/>
        <v>1261</v>
      </c>
      <c r="S1288" s="188">
        <f t="shared" si="109"/>
        <v>54.826086956521735</v>
      </c>
    </row>
    <row r="1289" spans="2:19" ht="12.75">
      <c r="B1289" s="94">
        <f t="shared" si="110"/>
        <v>743</v>
      </c>
      <c r="C1289" s="3"/>
      <c r="D1289" s="3"/>
      <c r="E1289" s="3"/>
      <c r="F1289" s="92" t="s">
        <v>46</v>
      </c>
      <c r="G1289" s="93">
        <v>640</v>
      </c>
      <c r="H1289" s="3" t="s">
        <v>132</v>
      </c>
      <c r="I1289" s="70">
        <v>300</v>
      </c>
      <c r="J1289" s="70">
        <v>0</v>
      </c>
      <c r="K1289" s="190">
        <f t="shared" si="107"/>
        <v>0</v>
      </c>
      <c r="L1289" s="177"/>
      <c r="M1289" s="70"/>
      <c r="N1289" s="70"/>
      <c r="O1289" s="189"/>
      <c r="P1289" s="177"/>
      <c r="Q1289" s="70">
        <f t="shared" si="108"/>
        <v>300</v>
      </c>
      <c r="R1289" s="70">
        <f t="shared" si="106"/>
        <v>0</v>
      </c>
      <c r="S1289" s="188">
        <f t="shared" si="109"/>
        <v>0</v>
      </c>
    </row>
    <row r="1290" spans="2:19" ht="15">
      <c r="B1290" s="94">
        <f t="shared" si="110"/>
        <v>744</v>
      </c>
      <c r="C1290" s="96">
        <v>5</v>
      </c>
      <c r="D1290" s="296" t="s">
        <v>124</v>
      </c>
      <c r="E1290" s="297"/>
      <c r="F1290" s="297"/>
      <c r="G1290" s="297"/>
      <c r="H1290" s="298"/>
      <c r="I1290" s="97">
        <f>I1291+I1302+I1306+I1309</f>
        <v>344411</v>
      </c>
      <c r="J1290" s="97">
        <f>J1291+J1302+J1306+J1309</f>
        <v>116460</v>
      </c>
      <c r="K1290" s="190">
        <f t="shared" si="107"/>
        <v>33.81425099662903</v>
      </c>
      <c r="L1290" s="184"/>
      <c r="M1290" s="97">
        <v>0</v>
      </c>
      <c r="N1290" s="97">
        <v>0</v>
      </c>
      <c r="O1290" s="189"/>
      <c r="P1290" s="184"/>
      <c r="Q1290" s="97">
        <f t="shared" si="108"/>
        <v>344411</v>
      </c>
      <c r="R1290" s="97">
        <f t="shared" si="106"/>
        <v>116460</v>
      </c>
      <c r="S1290" s="188">
        <f t="shared" si="109"/>
        <v>33.81425099662903</v>
      </c>
    </row>
    <row r="1291" spans="2:19" ht="12.75">
      <c r="B1291" s="94">
        <f t="shared" si="110"/>
        <v>745</v>
      </c>
      <c r="C1291" s="51"/>
      <c r="D1291" s="51"/>
      <c r="E1291" s="51"/>
      <c r="F1291" s="52"/>
      <c r="G1291" s="53"/>
      <c r="H1291" s="51" t="s">
        <v>127</v>
      </c>
      <c r="I1291" s="87">
        <f>I1292+I1293+I1294+I1301</f>
        <v>66205</v>
      </c>
      <c r="J1291" s="87">
        <f>J1292+J1293+J1294+J1301</f>
        <v>28276</v>
      </c>
      <c r="K1291" s="190">
        <f t="shared" si="107"/>
        <v>42.709765123480096</v>
      </c>
      <c r="L1291" s="177"/>
      <c r="M1291" s="87"/>
      <c r="N1291" s="87"/>
      <c r="O1291" s="189"/>
      <c r="P1291" s="177"/>
      <c r="Q1291" s="87">
        <f t="shared" si="108"/>
        <v>66205</v>
      </c>
      <c r="R1291" s="87">
        <f t="shared" si="106"/>
        <v>28276</v>
      </c>
      <c r="S1291" s="188">
        <f t="shared" si="109"/>
        <v>42.709765123480096</v>
      </c>
    </row>
    <row r="1292" spans="2:19" ht="12.75">
      <c r="B1292" s="94">
        <f t="shared" si="110"/>
        <v>746</v>
      </c>
      <c r="C1292" s="3"/>
      <c r="D1292" s="3"/>
      <c r="E1292" s="3"/>
      <c r="F1292" s="92" t="s">
        <v>47</v>
      </c>
      <c r="G1292" s="93">
        <v>610</v>
      </c>
      <c r="H1292" s="3" t="s">
        <v>134</v>
      </c>
      <c r="I1292" s="70">
        <v>30800</v>
      </c>
      <c r="J1292" s="70">
        <v>10621</v>
      </c>
      <c r="K1292" s="190">
        <f t="shared" si="107"/>
        <v>34.48376623376623</v>
      </c>
      <c r="L1292" s="177"/>
      <c r="M1292" s="70"/>
      <c r="N1292" s="70"/>
      <c r="O1292" s="189"/>
      <c r="P1292" s="177"/>
      <c r="Q1292" s="70">
        <f t="shared" si="108"/>
        <v>30800</v>
      </c>
      <c r="R1292" s="70">
        <f t="shared" si="106"/>
        <v>10621</v>
      </c>
      <c r="S1292" s="188">
        <f t="shared" si="109"/>
        <v>34.48376623376623</v>
      </c>
    </row>
    <row r="1293" spans="2:19" ht="12.75">
      <c r="B1293" s="94">
        <f t="shared" si="110"/>
        <v>747</v>
      </c>
      <c r="C1293" s="3"/>
      <c r="D1293" s="3"/>
      <c r="E1293" s="3"/>
      <c r="F1293" s="92" t="s">
        <v>47</v>
      </c>
      <c r="G1293" s="93">
        <v>620</v>
      </c>
      <c r="H1293" s="3" t="s">
        <v>128</v>
      </c>
      <c r="I1293" s="70">
        <v>13462</v>
      </c>
      <c r="J1293" s="70">
        <v>4110</v>
      </c>
      <c r="K1293" s="190">
        <f t="shared" si="107"/>
        <v>30.530381815480613</v>
      </c>
      <c r="L1293" s="177"/>
      <c r="M1293" s="70"/>
      <c r="N1293" s="70"/>
      <c r="O1293" s="189"/>
      <c r="P1293" s="177"/>
      <c r="Q1293" s="70">
        <f t="shared" si="108"/>
        <v>13462</v>
      </c>
      <c r="R1293" s="70">
        <f t="shared" si="106"/>
        <v>4110</v>
      </c>
      <c r="S1293" s="188">
        <f t="shared" si="109"/>
        <v>30.530381815480613</v>
      </c>
    </row>
    <row r="1294" spans="2:19" ht="12.75">
      <c r="B1294" s="94">
        <f t="shared" si="110"/>
        <v>748</v>
      </c>
      <c r="C1294" s="3"/>
      <c r="D1294" s="3"/>
      <c r="E1294" s="3"/>
      <c r="F1294" s="92" t="s">
        <v>47</v>
      </c>
      <c r="G1294" s="93">
        <v>630</v>
      </c>
      <c r="H1294" s="3" t="s">
        <v>125</v>
      </c>
      <c r="I1294" s="70">
        <f>SUM(I1295:I1300)</f>
        <v>8790</v>
      </c>
      <c r="J1294" s="70">
        <f>SUM(J1295:J1300)</f>
        <v>392</v>
      </c>
      <c r="K1294" s="190">
        <f t="shared" si="107"/>
        <v>4.459613196814562</v>
      </c>
      <c r="L1294" s="177"/>
      <c r="M1294" s="70"/>
      <c r="N1294" s="70"/>
      <c r="O1294" s="189"/>
      <c r="P1294" s="177"/>
      <c r="Q1294" s="70">
        <f t="shared" si="108"/>
        <v>8790</v>
      </c>
      <c r="R1294" s="70">
        <f t="shared" si="106"/>
        <v>392</v>
      </c>
      <c r="S1294" s="188">
        <f t="shared" si="109"/>
        <v>4.459613196814562</v>
      </c>
    </row>
    <row r="1295" spans="2:19" ht="12.75">
      <c r="B1295" s="94">
        <f t="shared" si="110"/>
        <v>749</v>
      </c>
      <c r="C1295" s="3"/>
      <c r="D1295" s="3"/>
      <c r="E1295" s="3"/>
      <c r="F1295" s="32" t="s">
        <v>47</v>
      </c>
      <c r="G1295" s="41">
        <v>631</v>
      </c>
      <c r="H1295" s="4" t="s">
        <v>131</v>
      </c>
      <c r="I1295" s="71">
        <f>200+200</f>
        <v>400</v>
      </c>
      <c r="J1295" s="71">
        <v>0</v>
      </c>
      <c r="K1295" s="190">
        <f t="shared" si="107"/>
        <v>0</v>
      </c>
      <c r="L1295" s="178"/>
      <c r="M1295" s="71"/>
      <c r="N1295" s="71"/>
      <c r="O1295" s="189"/>
      <c r="P1295" s="178"/>
      <c r="Q1295" s="71">
        <f>M1295+I1295</f>
        <v>400</v>
      </c>
      <c r="R1295" s="71">
        <f t="shared" si="106"/>
        <v>0</v>
      </c>
      <c r="S1295" s="188">
        <f t="shared" si="109"/>
        <v>0</v>
      </c>
    </row>
    <row r="1296" spans="2:19" ht="12.75">
      <c r="B1296" s="94">
        <f t="shared" si="110"/>
        <v>750</v>
      </c>
      <c r="C1296" s="4"/>
      <c r="D1296" s="4"/>
      <c r="E1296" s="4"/>
      <c r="F1296" s="32" t="s">
        <v>47</v>
      </c>
      <c r="G1296" s="41">
        <v>632</v>
      </c>
      <c r="H1296" s="4" t="s">
        <v>138</v>
      </c>
      <c r="I1296" s="71">
        <f>300+140</f>
        <v>440</v>
      </c>
      <c r="J1296" s="71">
        <v>10</v>
      </c>
      <c r="K1296" s="190">
        <f t="shared" si="107"/>
        <v>2.272727272727273</v>
      </c>
      <c r="L1296" s="178"/>
      <c r="M1296" s="71"/>
      <c r="N1296" s="71"/>
      <c r="O1296" s="189"/>
      <c r="P1296" s="178"/>
      <c r="Q1296" s="71">
        <f t="shared" si="108"/>
        <v>440</v>
      </c>
      <c r="R1296" s="71">
        <f t="shared" si="106"/>
        <v>10</v>
      </c>
      <c r="S1296" s="188">
        <f t="shared" si="109"/>
        <v>2.272727272727273</v>
      </c>
    </row>
    <row r="1297" spans="2:19" ht="12.75">
      <c r="B1297" s="94">
        <f t="shared" si="110"/>
        <v>751</v>
      </c>
      <c r="C1297" s="4"/>
      <c r="D1297" s="4"/>
      <c r="E1297" s="4"/>
      <c r="F1297" s="32" t="s">
        <v>47</v>
      </c>
      <c r="G1297" s="41">
        <v>633</v>
      </c>
      <c r="H1297" s="4" t="s">
        <v>129</v>
      </c>
      <c r="I1297" s="71">
        <f>2050-200+3100</f>
        <v>4950</v>
      </c>
      <c r="J1297" s="71">
        <v>47</v>
      </c>
      <c r="K1297" s="190">
        <f t="shared" si="107"/>
        <v>0.9494949494949495</v>
      </c>
      <c r="L1297" s="178"/>
      <c r="M1297" s="71"/>
      <c r="N1297" s="71"/>
      <c r="O1297" s="189"/>
      <c r="P1297" s="178"/>
      <c r="Q1297" s="71">
        <f t="shared" si="108"/>
        <v>4950</v>
      </c>
      <c r="R1297" s="71">
        <f t="shared" si="106"/>
        <v>47</v>
      </c>
      <c r="S1297" s="188">
        <f t="shared" si="109"/>
        <v>0.9494949494949495</v>
      </c>
    </row>
    <row r="1298" spans="2:19" ht="12.75">
      <c r="B1298" s="94">
        <f t="shared" si="110"/>
        <v>752</v>
      </c>
      <c r="C1298" s="4"/>
      <c r="D1298" s="4"/>
      <c r="E1298" s="4"/>
      <c r="F1298" s="32" t="s">
        <v>47</v>
      </c>
      <c r="G1298" s="41">
        <v>635</v>
      </c>
      <c r="H1298" s="4" t="s">
        <v>136</v>
      </c>
      <c r="I1298" s="71">
        <v>500</v>
      </c>
      <c r="J1298" s="164">
        <v>0</v>
      </c>
      <c r="K1298" s="190">
        <f t="shared" si="107"/>
        <v>0</v>
      </c>
      <c r="L1298" s="178"/>
      <c r="M1298" s="71"/>
      <c r="N1298" s="71"/>
      <c r="O1298" s="189"/>
      <c r="P1298" s="178"/>
      <c r="Q1298" s="71"/>
      <c r="R1298" s="71">
        <f t="shared" si="106"/>
        <v>0</v>
      </c>
      <c r="S1298" s="188">
        <v>0</v>
      </c>
    </row>
    <row r="1299" spans="2:19" ht="12.75">
      <c r="B1299" s="94">
        <f t="shared" si="110"/>
        <v>753</v>
      </c>
      <c r="C1299" s="4"/>
      <c r="D1299" s="4"/>
      <c r="E1299" s="4"/>
      <c r="F1299" s="32" t="s">
        <v>47</v>
      </c>
      <c r="G1299" s="41">
        <v>637</v>
      </c>
      <c r="H1299" s="4" t="s">
        <v>126</v>
      </c>
      <c r="I1299" s="71">
        <f>1450+500</f>
        <v>1950</v>
      </c>
      <c r="J1299" s="164">
        <f>327+8</f>
        <v>335</v>
      </c>
      <c r="K1299" s="190">
        <f t="shared" si="107"/>
        <v>17.17948717948718</v>
      </c>
      <c r="L1299" s="178"/>
      <c r="M1299" s="71"/>
      <c r="N1299" s="71"/>
      <c r="O1299" s="189"/>
      <c r="P1299" s="178"/>
      <c r="Q1299" s="71">
        <f t="shared" si="108"/>
        <v>1950</v>
      </c>
      <c r="R1299" s="71">
        <f>N1299+J1299</f>
        <v>335</v>
      </c>
      <c r="S1299" s="188">
        <f t="shared" si="109"/>
        <v>17.17948717948718</v>
      </c>
    </row>
    <row r="1300" spans="2:19" ht="12.75">
      <c r="B1300" s="94">
        <f t="shared" si="110"/>
        <v>754</v>
      </c>
      <c r="C1300" s="4"/>
      <c r="D1300" s="4"/>
      <c r="E1300" s="4"/>
      <c r="F1300" s="32" t="s">
        <v>47</v>
      </c>
      <c r="G1300" s="41">
        <v>637</v>
      </c>
      <c r="H1300" s="4" t="s">
        <v>295</v>
      </c>
      <c r="I1300" s="71">
        <v>550</v>
      </c>
      <c r="J1300" s="164">
        <v>0</v>
      </c>
      <c r="K1300" s="190">
        <f t="shared" si="107"/>
        <v>0</v>
      </c>
      <c r="L1300" s="178"/>
      <c r="M1300" s="71"/>
      <c r="N1300" s="71"/>
      <c r="O1300" s="189"/>
      <c r="P1300" s="178"/>
      <c r="Q1300" s="71">
        <f t="shared" si="108"/>
        <v>550</v>
      </c>
      <c r="R1300" s="71">
        <f>N1300+J1300</f>
        <v>0</v>
      </c>
      <c r="S1300" s="188">
        <f t="shared" si="109"/>
        <v>0</v>
      </c>
    </row>
    <row r="1301" spans="2:19" ht="12.75">
      <c r="B1301" s="94">
        <f t="shared" si="110"/>
        <v>755</v>
      </c>
      <c r="C1301" s="4"/>
      <c r="D1301" s="4"/>
      <c r="E1301" s="4"/>
      <c r="F1301" s="92" t="s">
        <v>47</v>
      </c>
      <c r="G1301" s="93">
        <v>630</v>
      </c>
      <c r="H1301" s="3" t="s">
        <v>550</v>
      </c>
      <c r="I1301" s="70">
        <v>13153</v>
      </c>
      <c r="J1301" s="72">
        <f>13161-8</f>
        <v>13153</v>
      </c>
      <c r="K1301" s="190">
        <f t="shared" si="107"/>
        <v>100</v>
      </c>
      <c r="L1301" s="177"/>
      <c r="M1301" s="70"/>
      <c r="N1301" s="70"/>
      <c r="O1301" s="189"/>
      <c r="P1301" s="177"/>
      <c r="Q1301" s="70">
        <f>I1301</f>
        <v>13153</v>
      </c>
      <c r="R1301" s="70">
        <f>J1301</f>
        <v>13153</v>
      </c>
      <c r="S1301" s="188">
        <f t="shared" si="109"/>
        <v>100</v>
      </c>
    </row>
    <row r="1302" spans="2:19" ht="12.75">
      <c r="B1302" s="94">
        <f t="shared" si="110"/>
        <v>756</v>
      </c>
      <c r="C1302" s="51"/>
      <c r="D1302" s="51"/>
      <c r="E1302" s="51"/>
      <c r="F1302" s="52"/>
      <c r="G1302" s="53"/>
      <c r="H1302" s="51" t="s">
        <v>332</v>
      </c>
      <c r="I1302" s="87">
        <f>I1303</f>
        <v>18000</v>
      </c>
      <c r="J1302" s="87">
        <f>J1303</f>
        <v>0</v>
      </c>
      <c r="K1302" s="190">
        <f t="shared" si="107"/>
        <v>0</v>
      </c>
      <c r="L1302" s="177"/>
      <c r="M1302" s="87"/>
      <c r="N1302" s="87"/>
      <c r="O1302" s="189"/>
      <c r="P1302" s="177"/>
      <c r="Q1302" s="87">
        <f t="shared" si="108"/>
        <v>18000</v>
      </c>
      <c r="R1302" s="87">
        <f>N1302+J1302</f>
        <v>0</v>
      </c>
      <c r="S1302" s="188">
        <f t="shared" si="109"/>
        <v>0</v>
      </c>
    </row>
    <row r="1303" spans="2:19" ht="12.75">
      <c r="B1303" s="94">
        <f t="shared" si="110"/>
        <v>757</v>
      </c>
      <c r="C1303" s="3"/>
      <c r="D1303" s="3"/>
      <c r="E1303" s="3"/>
      <c r="F1303" s="92" t="s">
        <v>47</v>
      </c>
      <c r="G1303" s="93">
        <v>640</v>
      </c>
      <c r="H1303" s="3" t="s">
        <v>132</v>
      </c>
      <c r="I1303" s="70">
        <f>I1304+I1305</f>
        <v>18000</v>
      </c>
      <c r="J1303" s="70">
        <f>J1304+J1305</f>
        <v>0</v>
      </c>
      <c r="K1303" s="190">
        <f t="shared" si="107"/>
        <v>0</v>
      </c>
      <c r="L1303" s="177"/>
      <c r="M1303" s="70"/>
      <c r="N1303" s="70"/>
      <c r="O1303" s="189"/>
      <c r="P1303" s="177"/>
      <c r="Q1303" s="70">
        <f t="shared" si="108"/>
        <v>18000</v>
      </c>
      <c r="R1303" s="70">
        <f>N1303+J1303</f>
        <v>0</v>
      </c>
      <c r="S1303" s="188">
        <f t="shared" si="109"/>
        <v>0</v>
      </c>
    </row>
    <row r="1304" spans="2:19" ht="12.75">
      <c r="B1304" s="94">
        <f t="shared" si="110"/>
        <v>758</v>
      </c>
      <c r="C1304" s="4"/>
      <c r="D1304" s="4"/>
      <c r="E1304" s="4"/>
      <c r="F1304" s="32" t="s">
        <v>47</v>
      </c>
      <c r="G1304" s="41">
        <v>642</v>
      </c>
      <c r="H1304" s="14" t="s">
        <v>285</v>
      </c>
      <c r="I1304" s="71">
        <v>10000</v>
      </c>
      <c r="J1304" s="71">
        <v>0</v>
      </c>
      <c r="K1304" s="190">
        <f t="shared" si="107"/>
        <v>0</v>
      </c>
      <c r="L1304" s="178"/>
      <c r="M1304" s="71"/>
      <c r="N1304" s="71"/>
      <c r="O1304" s="189"/>
      <c r="P1304" s="178"/>
      <c r="Q1304" s="71">
        <f t="shared" si="108"/>
        <v>10000</v>
      </c>
      <c r="R1304" s="71">
        <f>N1304+J1304</f>
        <v>0</v>
      </c>
      <c r="S1304" s="188">
        <f t="shared" si="109"/>
        <v>0</v>
      </c>
    </row>
    <row r="1305" spans="2:19" s="13" customFormat="1" ht="24">
      <c r="B1305" s="94">
        <f t="shared" si="110"/>
        <v>759</v>
      </c>
      <c r="C1305" s="330"/>
      <c r="D1305" s="330"/>
      <c r="E1305" s="330"/>
      <c r="F1305" s="32" t="s">
        <v>47</v>
      </c>
      <c r="G1305" s="331">
        <v>642</v>
      </c>
      <c r="H1305" s="332" t="s">
        <v>560</v>
      </c>
      <c r="I1305" s="128">
        <v>8000</v>
      </c>
      <c r="J1305" s="128">
        <v>0</v>
      </c>
      <c r="K1305" s="190">
        <f t="shared" si="107"/>
        <v>0</v>
      </c>
      <c r="L1305" s="333"/>
      <c r="M1305" s="128"/>
      <c r="N1305" s="128"/>
      <c r="O1305" s="189"/>
      <c r="P1305" s="333"/>
      <c r="Q1305" s="128"/>
      <c r="R1305" s="128"/>
      <c r="S1305" s="211">
        <v>0</v>
      </c>
    </row>
    <row r="1306" spans="2:19" ht="12.75">
      <c r="B1306" s="94">
        <f t="shared" si="110"/>
        <v>760</v>
      </c>
      <c r="C1306" s="51"/>
      <c r="D1306" s="51"/>
      <c r="E1306" s="51"/>
      <c r="F1306" s="52"/>
      <c r="G1306" s="53"/>
      <c r="H1306" s="51" t="s">
        <v>365</v>
      </c>
      <c r="I1306" s="87">
        <f>I1307</f>
        <v>3200</v>
      </c>
      <c r="J1306" s="87">
        <f>J1307</f>
        <v>2475</v>
      </c>
      <c r="K1306" s="190">
        <f t="shared" si="107"/>
        <v>77.34375</v>
      </c>
      <c r="L1306" s="177"/>
      <c r="M1306" s="87"/>
      <c r="N1306" s="87"/>
      <c r="O1306" s="189"/>
      <c r="P1306" s="177"/>
      <c r="Q1306" s="87">
        <f t="shared" si="108"/>
        <v>3200</v>
      </c>
      <c r="R1306" s="87">
        <f aca="true" t="shared" si="111" ref="R1306:R1319">N1306+J1306</f>
        <v>2475</v>
      </c>
      <c r="S1306" s="188">
        <f t="shared" si="109"/>
        <v>77.34375</v>
      </c>
    </row>
    <row r="1307" spans="2:19" ht="12.75">
      <c r="B1307" s="94">
        <f t="shared" si="110"/>
        <v>761</v>
      </c>
      <c r="C1307" s="3"/>
      <c r="D1307" s="3"/>
      <c r="E1307" s="3"/>
      <c r="F1307" s="92" t="s">
        <v>47</v>
      </c>
      <c r="G1307" s="93">
        <v>630</v>
      </c>
      <c r="H1307" s="3" t="s">
        <v>125</v>
      </c>
      <c r="I1307" s="70">
        <f>I1308</f>
        <v>3200</v>
      </c>
      <c r="J1307" s="70">
        <f>J1308</f>
        <v>2475</v>
      </c>
      <c r="K1307" s="190">
        <f t="shared" si="107"/>
        <v>77.34375</v>
      </c>
      <c r="L1307" s="177"/>
      <c r="M1307" s="70"/>
      <c r="N1307" s="70"/>
      <c r="O1307" s="189"/>
      <c r="P1307" s="177"/>
      <c r="Q1307" s="70">
        <f t="shared" si="108"/>
        <v>3200</v>
      </c>
      <c r="R1307" s="70">
        <f t="shared" si="111"/>
        <v>2475</v>
      </c>
      <c r="S1307" s="188">
        <f t="shared" si="109"/>
        <v>77.34375</v>
      </c>
    </row>
    <row r="1308" spans="2:19" ht="12.75">
      <c r="B1308" s="94">
        <f t="shared" si="110"/>
        <v>762</v>
      </c>
      <c r="C1308" s="4"/>
      <c r="D1308" s="4"/>
      <c r="E1308" s="4"/>
      <c r="F1308" s="32" t="s">
        <v>47</v>
      </c>
      <c r="G1308" s="41">
        <v>633</v>
      </c>
      <c r="H1308" s="4" t="s">
        <v>129</v>
      </c>
      <c r="I1308" s="71">
        <v>3200</v>
      </c>
      <c r="J1308" s="71">
        <v>2475</v>
      </c>
      <c r="K1308" s="190">
        <f t="shared" si="107"/>
        <v>77.34375</v>
      </c>
      <c r="L1308" s="178"/>
      <c r="M1308" s="71"/>
      <c r="N1308" s="71"/>
      <c r="O1308" s="189"/>
      <c r="P1308" s="178"/>
      <c r="Q1308" s="71">
        <f t="shared" si="108"/>
        <v>3200</v>
      </c>
      <c r="R1308" s="71">
        <f t="shared" si="111"/>
        <v>2475</v>
      </c>
      <c r="S1308" s="188">
        <f t="shared" si="109"/>
        <v>77.34375</v>
      </c>
    </row>
    <row r="1309" spans="2:19" ht="15">
      <c r="B1309" s="94">
        <f t="shared" si="110"/>
        <v>763</v>
      </c>
      <c r="C1309" s="12"/>
      <c r="D1309" s="12"/>
      <c r="E1309" s="12">
        <v>4</v>
      </c>
      <c r="F1309" s="35"/>
      <c r="G1309" s="43"/>
      <c r="H1309" s="12" t="s">
        <v>82</v>
      </c>
      <c r="I1309" s="82">
        <f>I1310+I1311+I1312+I1319</f>
        <v>257006</v>
      </c>
      <c r="J1309" s="82">
        <f>J1310+J1311+J1312+J1319</f>
        <v>85709</v>
      </c>
      <c r="K1309" s="190">
        <f t="shared" si="107"/>
        <v>33.34902687096799</v>
      </c>
      <c r="L1309" s="182"/>
      <c r="M1309" s="82"/>
      <c r="N1309" s="82"/>
      <c r="O1309" s="189"/>
      <c r="P1309" s="182"/>
      <c r="Q1309" s="82">
        <f t="shared" si="108"/>
        <v>257006</v>
      </c>
      <c r="R1309" s="82">
        <f t="shared" si="111"/>
        <v>85709</v>
      </c>
      <c r="S1309" s="188">
        <f t="shared" si="109"/>
        <v>33.34902687096799</v>
      </c>
    </row>
    <row r="1310" spans="2:19" ht="12.75">
      <c r="B1310" s="94">
        <f t="shared" si="110"/>
        <v>764</v>
      </c>
      <c r="C1310" s="3"/>
      <c r="D1310" s="3"/>
      <c r="E1310" s="3"/>
      <c r="F1310" s="92" t="s">
        <v>71</v>
      </c>
      <c r="G1310" s="93">
        <v>610</v>
      </c>
      <c r="H1310" s="3" t="s">
        <v>134</v>
      </c>
      <c r="I1310" s="70">
        <v>108914</v>
      </c>
      <c r="J1310" s="70">
        <v>43566</v>
      </c>
      <c r="K1310" s="190">
        <f t="shared" si="107"/>
        <v>40.0003672622436</v>
      </c>
      <c r="L1310" s="177"/>
      <c r="M1310" s="70"/>
      <c r="N1310" s="70"/>
      <c r="O1310" s="189"/>
      <c r="P1310" s="177"/>
      <c r="Q1310" s="70">
        <f t="shared" si="108"/>
        <v>108914</v>
      </c>
      <c r="R1310" s="70">
        <f t="shared" si="111"/>
        <v>43566</v>
      </c>
      <c r="S1310" s="188">
        <f t="shared" si="109"/>
        <v>40.0003672622436</v>
      </c>
    </row>
    <row r="1311" spans="2:19" ht="12.75">
      <c r="B1311" s="94">
        <f t="shared" si="110"/>
        <v>765</v>
      </c>
      <c r="C1311" s="3"/>
      <c r="D1311" s="3"/>
      <c r="E1311" s="3"/>
      <c r="F1311" s="92" t="s">
        <v>71</v>
      </c>
      <c r="G1311" s="93">
        <v>620</v>
      </c>
      <c r="H1311" s="3" t="s">
        <v>128</v>
      </c>
      <c r="I1311" s="70">
        <v>44757</v>
      </c>
      <c r="J1311" s="70">
        <v>16640</v>
      </c>
      <c r="K1311" s="190">
        <f t="shared" si="107"/>
        <v>37.1785419040597</v>
      </c>
      <c r="L1311" s="177"/>
      <c r="M1311" s="70"/>
      <c r="N1311" s="70"/>
      <c r="O1311" s="189"/>
      <c r="P1311" s="177"/>
      <c r="Q1311" s="70">
        <f t="shared" si="108"/>
        <v>44757</v>
      </c>
      <c r="R1311" s="70">
        <f t="shared" si="111"/>
        <v>16640</v>
      </c>
      <c r="S1311" s="188">
        <f t="shared" si="109"/>
        <v>37.1785419040597</v>
      </c>
    </row>
    <row r="1312" spans="2:19" ht="12.75">
      <c r="B1312" s="94">
        <f t="shared" si="110"/>
        <v>766</v>
      </c>
      <c r="C1312" s="3"/>
      <c r="D1312" s="3"/>
      <c r="E1312" s="3"/>
      <c r="F1312" s="92" t="s">
        <v>71</v>
      </c>
      <c r="G1312" s="93">
        <v>630</v>
      </c>
      <c r="H1312" s="3" t="s">
        <v>125</v>
      </c>
      <c r="I1312" s="70">
        <f>SUM(I1313:I1318)</f>
        <v>100721</v>
      </c>
      <c r="J1312" s="70">
        <f>SUM(J1313:J1318)</f>
        <v>25503</v>
      </c>
      <c r="K1312" s="190">
        <f t="shared" si="107"/>
        <v>25.320439630265785</v>
      </c>
      <c r="L1312" s="177"/>
      <c r="M1312" s="70"/>
      <c r="N1312" s="70"/>
      <c r="O1312" s="189"/>
      <c r="P1312" s="177"/>
      <c r="Q1312" s="70">
        <f t="shared" si="108"/>
        <v>100721</v>
      </c>
      <c r="R1312" s="70">
        <f t="shared" si="111"/>
        <v>25503</v>
      </c>
      <c r="S1312" s="188">
        <f t="shared" si="109"/>
        <v>25.320439630265785</v>
      </c>
    </row>
    <row r="1313" spans="2:19" ht="12.75">
      <c r="B1313" s="94">
        <f t="shared" si="110"/>
        <v>767</v>
      </c>
      <c r="C1313" s="4"/>
      <c r="D1313" s="4"/>
      <c r="E1313" s="4"/>
      <c r="F1313" s="32" t="s">
        <v>71</v>
      </c>
      <c r="G1313" s="41">
        <v>632</v>
      </c>
      <c r="H1313" s="4" t="s">
        <v>138</v>
      </c>
      <c r="I1313" s="71">
        <v>1290</v>
      </c>
      <c r="J1313" s="71">
        <v>378</v>
      </c>
      <c r="K1313" s="190">
        <f t="shared" si="107"/>
        <v>29.30232558139535</v>
      </c>
      <c r="L1313" s="178"/>
      <c r="M1313" s="71"/>
      <c r="N1313" s="71"/>
      <c r="O1313" s="189"/>
      <c r="P1313" s="178"/>
      <c r="Q1313" s="71">
        <f t="shared" si="108"/>
        <v>1290</v>
      </c>
      <c r="R1313" s="71">
        <f t="shared" si="111"/>
        <v>378</v>
      </c>
      <c r="S1313" s="188">
        <f t="shared" si="109"/>
        <v>29.30232558139535</v>
      </c>
    </row>
    <row r="1314" spans="2:19" ht="12.75">
      <c r="B1314" s="94">
        <f t="shared" si="110"/>
        <v>768</v>
      </c>
      <c r="C1314" s="4"/>
      <c r="D1314" s="4"/>
      <c r="E1314" s="4"/>
      <c r="F1314" s="32" t="s">
        <v>71</v>
      </c>
      <c r="G1314" s="41">
        <v>633</v>
      </c>
      <c r="H1314" s="4" t="s">
        <v>129</v>
      </c>
      <c r="I1314" s="71">
        <v>4700</v>
      </c>
      <c r="J1314" s="71">
        <v>1547</v>
      </c>
      <c r="K1314" s="190">
        <f t="shared" si="107"/>
        <v>32.91489361702128</v>
      </c>
      <c r="L1314" s="178"/>
      <c r="M1314" s="71"/>
      <c r="N1314" s="71"/>
      <c r="O1314" s="189"/>
      <c r="P1314" s="178"/>
      <c r="Q1314" s="71">
        <f t="shared" si="108"/>
        <v>4700</v>
      </c>
      <c r="R1314" s="71">
        <f t="shared" si="111"/>
        <v>1547</v>
      </c>
      <c r="S1314" s="188">
        <f t="shared" si="109"/>
        <v>32.91489361702128</v>
      </c>
    </row>
    <row r="1315" spans="2:19" ht="12.75">
      <c r="B1315" s="94">
        <f t="shared" si="110"/>
        <v>769</v>
      </c>
      <c r="C1315" s="4"/>
      <c r="D1315" s="4"/>
      <c r="E1315" s="4"/>
      <c r="F1315" s="32" t="s">
        <v>71</v>
      </c>
      <c r="G1315" s="41">
        <v>634</v>
      </c>
      <c r="H1315" s="4" t="s">
        <v>135</v>
      </c>
      <c r="I1315" s="71">
        <v>4250</v>
      </c>
      <c r="J1315" s="71">
        <v>721</v>
      </c>
      <c r="K1315" s="190">
        <f t="shared" si="107"/>
        <v>16.96470588235294</v>
      </c>
      <c r="L1315" s="178"/>
      <c r="M1315" s="71"/>
      <c r="N1315" s="71"/>
      <c r="O1315" s="189"/>
      <c r="P1315" s="178"/>
      <c r="Q1315" s="71">
        <f t="shared" si="108"/>
        <v>4250</v>
      </c>
      <c r="R1315" s="71">
        <f t="shared" si="111"/>
        <v>721</v>
      </c>
      <c r="S1315" s="188">
        <f t="shared" si="109"/>
        <v>16.96470588235294</v>
      </c>
    </row>
    <row r="1316" spans="2:19" ht="12.75">
      <c r="B1316" s="94">
        <f t="shared" si="110"/>
        <v>770</v>
      </c>
      <c r="C1316" s="4"/>
      <c r="D1316" s="4"/>
      <c r="E1316" s="4"/>
      <c r="F1316" s="32" t="s">
        <v>71</v>
      </c>
      <c r="G1316" s="41">
        <v>636</v>
      </c>
      <c r="H1316" s="4" t="s">
        <v>130</v>
      </c>
      <c r="I1316" s="71">
        <v>3080</v>
      </c>
      <c r="J1316" s="71">
        <v>938</v>
      </c>
      <c r="K1316" s="190">
        <f t="shared" si="107"/>
        <v>30.454545454545457</v>
      </c>
      <c r="L1316" s="178"/>
      <c r="M1316" s="71"/>
      <c r="N1316" s="71"/>
      <c r="O1316" s="189"/>
      <c r="P1316" s="178"/>
      <c r="Q1316" s="71">
        <f t="shared" si="108"/>
        <v>3080</v>
      </c>
      <c r="R1316" s="71">
        <f t="shared" si="111"/>
        <v>938</v>
      </c>
      <c r="S1316" s="188">
        <f t="shared" si="109"/>
        <v>30.454545454545457</v>
      </c>
    </row>
    <row r="1317" spans="2:19" ht="12.75">
      <c r="B1317" s="94">
        <f t="shared" si="110"/>
        <v>771</v>
      </c>
      <c r="C1317" s="4"/>
      <c r="D1317" s="4"/>
      <c r="E1317" s="4"/>
      <c r="F1317" s="32" t="s">
        <v>71</v>
      </c>
      <c r="G1317" s="41">
        <v>637</v>
      </c>
      <c r="H1317" s="4" t="s">
        <v>126</v>
      </c>
      <c r="I1317" s="71">
        <f>35585+1216</f>
        <v>36801</v>
      </c>
      <c r="J1317" s="71">
        <v>18134</v>
      </c>
      <c r="K1317" s="190">
        <f>J1317/I1317*100</f>
        <v>49.27583489579088</v>
      </c>
      <c r="L1317" s="178"/>
      <c r="M1317" s="71"/>
      <c r="N1317" s="71"/>
      <c r="O1317" s="189"/>
      <c r="P1317" s="178"/>
      <c r="Q1317" s="71">
        <f>M1317+I1317</f>
        <v>36801</v>
      </c>
      <c r="R1317" s="71">
        <f t="shared" si="111"/>
        <v>18134</v>
      </c>
      <c r="S1317" s="188">
        <f>R1317/Q1317*100</f>
        <v>49.27583489579088</v>
      </c>
    </row>
    <row r="1318" spans="2:19" ht="12.75">
      <c r="B1318" s="94">
        <f t="shared" si="110"/>
        <v>772</v>
      </c>
      <c r="C1318" s="4"/>
      <c r="D1318" s="4"/>
      <c r="E1318" s="4"/>
      <c r="F1318" s="32" t="s">
        <v>71</v>
      </c>
      <c r="G1318" s="41">
        <v>637</v>
      </c>
      <c r="H1318" s="4" t="s">
        <v>295</v>
      </c>
      <c r="I1318" s="71">
        <v>50600</v>
      </c>
      <c r="J1318" s="71">
        <v>3785</v>
      </c>
      <c r="K1318" s="190">
        <f>J1318/I1318*100</f>
        <v>7.480237154150197</v>
      </c>
      <c r="L1318" s="178"/>
      <c r="M1318" s="71"/>
      <c r="N1318" s="71"/>
      <c r="O1318" s="189"/>
      <c r="P1318" s="178"/>
      <c r="Q1318" s="71">
        <f>M1318+I1318</f>
        <v>50600</v>
      </c>
      <c r="R1318" s="71">
        <f t="shared" si="111"/>
        <v>3785</v>
      </c>
      <c r="S1318" s="188">
        <f>R1318/Q1318*100</f>
        <v>7.480237154150197</v>
      </c>
    </row>
    <row r="1319" spans="2:19" ht="12.75">
      <c r="B1319" s="94">
        <f>B1318+1</f>
        <v>773</v>
      </c>
      <c r="C1319" s="3"/>
      <c r="D1319" s="3"/>
      <c r="E1319" s="3"/>
      <c r="F1319" s="92" t="s">
        <v>71</v>
      </c>
      <c r="G1319" s="93">
        <v>640</v>
      </c>
      <c r="H1319" s="3" t="s">
        <v>132</v>
      </c>
      <c r="I1319" s="70">
        <v>2614</v>
      </c>
      <c r="J1319" s="70">
        <v>0</v>
      </c>
      <c r="K1319" s="190">
        <f>J1319/I1319*100</f>
        <v>0</v>
      </c>
      <c r="L1319" s="177"/>
      <c r="M1319" s="70"/>
      <c r="N1319" s="70"/>
      <c r="O1319" s="189"/>
      <c r="P1319" s="177"/>
      <c r="Q1319" s="70">
        <f>M1319+I1319</f>
        <v>2614</v>
      </c>
      <c r="R1319" s="70">
        <f t="shared" si="111"/>
        <v>0</v>
      </c>
      <c r="S1319" s="188">
        <f>R1319/Q1319*100</f>
        <v>0</v>
      </c>
    </row>
    <row r="1329" spans="2:17" ht="27.75" thickBot="1">
      <c r="B1329" s="287" t="s">
        <v>0</v>
      </c>
      <c r="C1329" s="288"/>
      <c r="D1329" s="288"/>
      <c r="E1329" s="288"/>
      <c r="F1329" s="288"/>
      <c r="G1329" s="288"/>
      <c r="H1329" s="288"/>
      <c r="I1329" s="288"/>
      <c r="J1329" s="288"/>
      <c r="K1329" s="288"/>
      <c r="L1329" s="288"/>
      <c r="M1329" s="288"/>
      <c r="N1329" s="288"/>
      <c r="O1329" s="288"/>
      <c r="P1329" s="288"/>
      <c r="Q1329" s="288"/>
    </row>
    <row r="1330" spans="2:19" ht="12.75" customHeight="1" thickBot="1">
      <c r="B1330" s="269" t="s">
        <v>309</v>
      </c>
      <c r="C1330" s="269"/>
      <c r="D1330" s="269"/>
      <c r="E1330" s="269"/>
      <c r="F1330" s="269"/>
      <c r="G1330" s="269"/>
      <c r="H1330" s="269"/>
      <c r="I1330" s="269"/>
      <c r="J1330" s="269"/>
      <c r="K1330" s="269"/>
      <c r="L1330" s="269"/>
      <c r="M1330" s="269"/>
      <c r="N1330" s="269"/>
      <c r="O1330" s="269"/>
      <c r="P1330" s="170"/>
      <c r="Q1330" s="274" t="s">
        <v>515</v>
      </c>
      <c r="R1330" s="265" t="s">
        <v>569</v>
      </c>
      <c r="S1330" s="266" t="s">
        <v>564</v>
      </c>
    </row>
    <row r="1331" spans="2:19" ht="12.75" customHeight="1" thickBot="1">
      <c r="B1331" s="275"/>
      <c r="C1331" s="273" t="s">
        <v>118</v>
      </c>
      <c r="D1331" s="273" t="s">
        <v>119</v>
      </c>
      <c r="E1331" s="276"/>
      <c r="F1331" s="273" t="s">
        <v>120</v>
      </c>
      <c r="G1331" s="270" t="s">
        <v>121</v>
      </c>
      <c r="H1331" s="271" t="s">
        <v>122</v>
      </c>
      <c r="I1331" s="267" t="s">
        <v>565</v>
      </c>
      <c r="J1331" s="267" t="s">
        <v>566</v>
      </c>
      <c r="K1331" s="268" t="s">
        <v>564</v>
      </c>
      <c r="L1331" s="168"/>
      <c r="M1331" s="272" t="s">
        <v>567</v>
      </c>
      <c r="N1331" s="267" t="s">
        <v>568</v>
      </c>
      <c r="O1331" s="268" t="s">
        <v>564</v>
      </c>
      <c r="P1331" s="171"/>
      <c r="Q1331" s="274"/>
      <c r="R1331" s="265"/>
      <c r="S1331" s="266"/>
    </row>
    <row r="1332" spans="2:19" ht="13.5" thickBot="1">
      <c r="B1332" s="275"/>
      <c r="C1332" s="273"/>
      <c r="D1332" s="273"/>
      <c r="E1332" s="276"/>
      <c r="F1332" s="273"/>
      <c r="G1332" s="270"/>
      <c r="H1332" s="271"/>
      <c r="I1332" s="267"/>
      <c r="J1332" s="267"/>
      <c r="K1332" s="268"/>
      <c r="L1332" s="168"/>
      <c r="M1332" s="272"/>
      <c r="N1332" s="267"/>
      <c r="O1332" s="268"/>
      <c r="P1332" s="171"/>
      <c r="Q1332" s="274"/>
      <c r="R1332" s="265"/>
      <c r="S1332" s="266"/>
    </row>
    <row r="1333" spans="2:19" ht="13.5" thickBot="1">
      <c r="B1333" s="275"/>
      <c r="C1333" s="273"/>
      <c r="D1333" s="273"/>
      <c r="E1333" s="276"/>
      <c r="F1333" s="273"/>
      <c r="G1333" s="270"/>
      <c r="H1333" s="271"/>
      <c r="I1333" s="267"/>
      <c r="J1333" s="267"/>
      <c r="K1333" s="268"/>
      <c r="L1333" s="168"/>
      <c r="M1333" s="272"/>
      <c r="N1333" s="267"/>
      <c r="O1333" s="268"/>
      <c r="P1333" s="171"/>
      <c r="Q1333" s="274"/>
      <c r="R1333" s="265"/>
      <c r="S1333" s="266"/>
    </row>
    <row r="1334" spans="2:19" ht="13.5" thickBot="1">
      <c r="B1334" s="275"/>
      <c r="C1334" s="273"/>
      <c r="D1334" s="273"/>
      <c r="E1334" s="276"/>
      <c r="F1334" s="273"/>
      <c r="G1334" s="270"/>
      <c r="H1334" s="271"/>
      <c r="I1334" s="267"/>
      <c r="J1334" s="267"/>
      <c r="K1334" s="268"/>
      <c r="L1334" s="169"/>
      <c r="M1334" s="272"/>
      <c r="N1334" s="267"/>
      <c r="O1334" s="268"/>
      <c r="P1334" s="171"/>
      <c r="Q1334" s="274"/>
      <c r="R1334" s="265"/>
      <c r="S1334" s="266"/>
    </row>
    <row r="1335" spans="2:19" ht="16.5" thickTop="1">
      <c r="B1335" s="28">
        <v>1</v>
      </c>
      <c r="C1335" s="281" t="s">
        <v>0</v>
      </c>
      <c r="D1335" s="285"/>
      <c r="E1335" s="285"/>
      <c r="F1335" s="285"/>
      <c r="G1335" s="285"/>
      <c r="H1335" s="286"/>
      <c r="I1335" s="81">
        <f>I1336+I1340+I1350+I1405</f>
        <v>2119208</v>
      </c>
      <c r="J1335" s="81">
        <f>J1336+J1340+J1350+J1405</f>
        <v>762514</v>
      </c>
      <c r="K1335" s="189">
        <f aca="true" t="shared" si="112" ref="K1335:K1397">J1335/I1335*100</f>
        <v>35.98108349911854</v>
      </c>
      <c r="L1335" s="179"/>
      <c r="M1335" s="81">
        <f>M1336+M1340+M1350+M1405</f>
        <v>2697180</v>
      </c>
      <c r="N1335" s="81">
        <f>N1336+N1340+N1350+N1405</f>
        <v>92163</v>
      </c>
      <c r="O1335" s="189">
        <f>N1335/M1335*100</f>
        <v>3.417013325028363</v>
      </c>
      <c r="P1335" s="179"/>
      <c r="Q1335" s="81">
        <f aca="true" t="shared" si="113" ref="Q1335:Q1397">I1335+M1335</f>
        <v>4816388</v>
      </c>
      <c r="R1335" s="81">
        <f aca="true" t="shared" si="114" ref="R1335:R1397">J1335+N1335</f>
        <v>854677</v>
      </c>
      <c r="S1335" s="188">
        <f aca="true" t="shared" si="115" ref="S1335:S1397">R1335/Q1335*100</f>
        <v>17.745185811442102</v>
      </c>
    </row>
    <row r="1336" spans="2:19" ht="15">
      <c r="B1336" s="28">
        <f>B1335+1</f>
        <v>2</v>
      </c>
      <c r="C1336" s="7">
        <v>1</v>
      </c>
      <c r="D1336" s="277" t="s">
        <v>236</v>
      </c>
      <c r="E1336" s="278"/>
      <c r="F1336" s="278"/>
      <c r="G1336" s="278"/>
      <c r="H1336" s="279"/>
      <c r="I1336" s="79">
        <f>I1337</f>
        <v>9000</v>
      </c>
      <c r="J1336" s="79">
        <f>J1337</f>
        <v>5880</v>
      </c>
      <c r="K1336" s="190">
        <f t="shared" si="112"/>
        <v>65.33333333333333</v>
      </c>
      <c r="L1336" s="175"/>
      <c r="M1336" s="79">
        <v>0</v>
      </c>
      <c r="N1336" s="79">
        <v>0</v>
      </c>
      <c r="O1336" s="189"/>
      <c r="P1336" s="175"/>
      <c r="Q1336" s="79">
        <f t="shared" si="113"/>
        <v>9000</v>
      </c>
      <c r="R1336" s="79">
        <f t="shared" si="114"/>
        <v>5880</v>
      </c>
      <c r="S1336" s="188">
        <f t="shared" si="115"/>
        <v>65.33333333333333</v>
      </c>
    </row>
    <row r="1337" spans="2:19" ht="12.75">
      <c r="B1337" s="28">
        <f aca="true" t="shared" si="116" ref="B1337:B1352">B1336+1</f>
        <v>3</v>
      </c>
      <c r="C1337" s="9"/>
      <c r="D1337" s="9"/>
      <c r="E1337" s="9"/>
      <c r="F1337" s="31" t="s">
        <v>185</v>
      </c>
      <c r="G1337" s="40">
        <v>630</v>
      </c>
      <c r="H1337" s="9" t="s">
        <v>125</v>
      </c>
      <c r="I1337" s="72">
        <f>SUM(I1338:I1339)</f>
        <v>9000</v>
      </c>
      <c r="J1337" s="72">
        <f>SUM(J1338:J1339)</f>
        <v>5880</v>
      </c>
      <c r="K1337" s="190">
        <f t="shared" si="112"/>
        <v>65.33333333333333</v>
      </c>
      <c r="L1337" s="177"/>
      <c r="M1337" s="72"/>
      <c r="N1337" s="72"/>
      <c r="O1337" s="189"/>
      <c r="P1337" s="177"/>
      <c r="Q1337" s="72">
        <f t="shared" si="113"/>
        <v>9000</v>
      </c>
      <c r="R1337" s="72">
        <f t="shared" si="114"/>
        <v>5880</v>
      </c>
      <c r="S1337" s="188">
        <f t="shared" si="115"/>
        <v>65.33333333333333</v>
      </c>
    </row>
    <row r="1338" spans="2:19" ht="12.75">
      <c r="B1338" s="28">
        <f t="shared" si="116"/>
        <v>4</v>
      </c>
      <c r="C1338" s="4"/>
      <c r="D1338" s="4"/>
      <c r="E1338" s="4"/>
      <c r="F1338" s="32" t="s">
        <v>185</v>
      </c>
      <c r="G1338" s="41">
        <v>637</v>
      </c>
      <c r="H1338" s="4" t="s">
        <v>126</v>
      </c>
      <c r="I1338" s="71">
        <f>1500+2000+2500</f>
        <v>6000</v>
      </c>
      <c r="J1338" s="71">
        <v>5880</v>
      </c>
      <c r="K1338" s="190">
        <f t="shared" si="112"/>
        <v>98</v>
      </c>
      <c r="L1338" s="178"/>
      <c r="M1338" s="71"/>
      <c r="N1338" s="71"/>
      <c r="O1338" s="189"/>
      <c r="P1338" s="178"/>
      <c r="Q1338" s="71">
        <f t="shared" si="113"/>
        <v>6000</v>
      </c>
      <c r="R1338" s="71">
        <f t="shared" si="114"/>
        <v>5880</v>
      </c>
      <c r="S1338" s="188">
        <f t="shared" si="115"/>
        <v>98</v>
      </c>
    </row>
    <row r="1339" spans="2:19" ht="12.75">
      <c r="B1339" s="28">
        <f t="shared" si="116"/>
        <v>5</v>
      </c>
      <c r="C1339" s="4"/>
      <c r="D1339" s="4"/>
      <c r="E1339" s="4"/>
      <c r="F1339" s="32" t="s">
        <v>185</v>
      </c>
      <c r="G1339" s="41">
        <v>637</v>
      </c>
      <c r="H1339" s="4" t="s">
        <v>556</v>
      </c>
      <c r="I1339" s="71">
        <v>3000</v>
      </c>
      <c r="J1339" s="71">
        <v>0</v>
      </c>
      <c r="K1339" s="190">
        <f t="shared" si="112"/>
        <v>0</v>
      </c>
      <c r="L1339" s="178"/>
      <c r="M1339" s="71"/>
      <c r="N1339" s="71"/>
      <c r="O1339" s="189"/>
      <c r="P1339" s="178"/>
      <c r="Q1339" s="71">
        <f>I1339+M1339</f>
        <v>3000</v>
      </c>
      <c r="R1339" s="71">
        <f t="shared" si="114"/>
        <v>0</v>
      </c>
      <c r="S1339" s="188">
        <f t="shared" si="115"/>
        <v>0</v>
      </c>
    </row>
    <row r="1340" spans="2:19" ht="15">
      <c r="B1340" s="28">
        <f t="shared" si="116"/>
        <v>6</v>
      </c>
      <c r="C1340" s="7">
        <v>2</v>
      </c>
      <c r="D1340" s="277" t="s">
        <v>17</v>
      </c>
      <c r="E1340" s="278"/>
      <c r="F1340" s="278"/>
      <c r="G1340" s="278"/>
      <c r="H1340" s="279"/>
      <c r="I1340" s="79">
        <f>I1341</f>
        <v>200600</v>
      </c>
      <c r="J1340" s="79">
        <f>J1341</f>
        <v>5000</v>
      </c>
      <c r="K1340" s="190">
        <f t="shared" si="112"/>
        <v>2.4925224327018944</v>
      </c>
      <c r="L1340" s="175"/>
      <c r="M1340" s="79">
        <v>0</v>
      </c>
      <c r="N1340" s="79">
        <v>0</v>
      </c>
      <c r="O1340" s="189"/>
      <c r="P1340" s="175"/>
      <c r="Q1340" s="79">
        <f t="shared" si="113"/>
        <v>200600</v>
      </c>
      <c r="R1340" s="79">
        <f t="shared" si="114"/>
        <v>5000</v>
      </c>
      <c r="S1340" s="188">
        <f t="shared" si="115"/>
        <v>2.4925224327018944</v>
      </c>
    </row>
    <row r="1341" spans="2:19" ht="12.75">
      <c r="B1341" s="28">
        <f t="shared" si="116"/>
        <v>7</v>
      </c>
      <c r="C1341" s="9"/>
      <c r="D1341" s="9"/>
      <c r="E1341" s="9"/>
      <c r="F1341" s="31" t="s">
        <v>185</v>
      </c>
      <c r="G1341" s="40">
        <v>640</v>
      </c>
      <c r="H1341" s="9" t="s">
        <v>132</v>
      </c>
      <c r="I1341" s="72">
        <f>SUM(I1342:I1349)</f>
        <v>200600</v>
      </c>
      <c r="J1341" s="72">
        <f>SUM(J1342:J1349)</f>
        <v>5000</v>
      </c>
      <c r="K1341" s="190">
        <f t="shared" si="112"/>
        <v>2.4925224327018944</v>
      </c>
      <c r="L1341" s="177"/>
      <c r="M1341" s="72"/>
      <c r="N1341" s="72"/>
      <c r="O1341" s="189"/>
      <c r="P1341" s="177"/>
      <c r="Q1341" s="72">
        <f t="shared" si="113"/>
        <v>200600</v>
      </c>
      <c r="R1341" s="72">
        <f t="shared" si="114"/>
        <v>5000</v>
      </c>
      <c r="S1341" s="188">
        <f t="shared" si="115"/>
        <v>2.4925224327018944</v>
      </c>
    </row>
    <row r="1342" spans="2:19" ht="12.75">
      <c r="B1342" s="28">
        <f t="shared" si="116"/>
        <v>8</v>
      </c>
      <c r="C1342" s="5"/>
      <c r="D1342" s="5"/>
      <c r="E1342" s="5"/>
      <c r="F1342" s="33"/>
      <c r="G1342" s="42"/>
      <c r="H1342" s="5" t="s">
        <v>186</v>
      </c>
      <c r="I1342" s="75">
        <f>35000+600</f>
        <v>35600</v>
      </c>
      <c r="J1342" s="75">
        <v>0</v>
      </c>
      <c r="K1342" s="190">
        <f t="shared" si="112"/>
        <v>0</v>
      </c>
      <c r="L1342" s="99"/>
      <c r="M1342" s="75"/>
      <c r="N1342" s="75"/>
      <c r="O1342" s="189"/>
      <c r="P1342" s="99"/>
      <c r="Q1342" s="75">
        <f t="shared" si="113"/>
        <v>35600</v>
      </c>
      <c r="R1342" s="75">
        <f t="shared" si="114"/>
        <v>0</v>
      </c>
      <c r="S1342" s="188">
        <f t="shared" si="115"/>
        <v>0</v>
      </c>
    </row>
    <row r="1343" spans="2:19" ht="12.75">
      <c r="B1343" s="28">
        <f t="shared" si="116"/>
        <v>9</v>
      </c>
      <c r="C1343" s="5"/>
      <c r="D1343" s="5"/>
      <c r="E1343" s="5"/>
      <c r="F1343" s="33"/>
      <c r="G1343" s="42"/>
      <c r="H1343" s="5" t="s">
        <v>19</v>
      </c>
      <c r="I1343" s="75">
        <v>10000</v>
      </c>
      <c r="J1343" s="75">
        <v>0</v>
      </c>
      <c r="K1343" s="190">
        <f t="shared" si="112"/>
        <v>0</v>
      </c>
      <c r="L1343" s="99"/>
      <c r="M1343" s="75"/>
      <c r="N1343" s="75"/>
      <c r="O1343" s="189"/>
      <c r="P1343" s="99"/>
      <c r="Q1343" s="75">
        <f t="shared" si="113"/>
        <v>10000</v>
      </c>
      <c r="R1343" s="75">
        <f t="shared" si="114"/>
        <v>0</v>
      </c>
      <c r="S1343" s="188">
        <f t="shared" si="115"/>
        <v>0</v>
      </c>
    </row>
    <row r="1344" spans="2:19" ht="12.75">
      <c r="B1344" s="28">
        <f t="shared" si="116"/>
        <v>10</v>
      </c>
      <c r="C1344" s="5"/>
      <c r="D1344" s="5"/>
      <c r="E1344" s="5"/>
      <c r="F1344" s="33"/>
      <c r="G1344" s="42"/>
      <c r="H1344" s="5" t="s">
        <v>18</v>
      </c>
      <c r="I1344" s="75">
        <v>45000</v>
      </c>
      <c r="J1344" s="75">
        <v>0</v>
      </c>
      <c r="K1344" s="190">
        <f t="shared" si="112"/>
        <v>0</v>
      </c>
      <c r="L1344" s="99"/>
      <c r="M1344" s="75"/>
      <c r="N1344" s="75"/>
      <c r="O1344" s="189"/>
      <c r="P1344" s="99"/>
      <c r="Q1344" s="75">
        <f t="shared" si="113"/>
        <v>45000</v>
      </c>
      <c r="R1344" s="75">
        <f t="shared" si="114"/>
        <v>0</v>
      </c>
      <c r="S1344" s="188">
        <f t="shared" si="115"/>
        <v>0</v>
      </c>
    </row>
    <row r="1345" spans="2:19" ht="12.75">
      <c r="B1345" s="28">
        <f t="shared" si="116"/>
        <v>11</v>
      </c>
      <c r="C1345" s="5"/>
      <c r="D1345" s="5"/>
      <c r="E1345" s="5"/>
      <c r="F1345" s="33"/>
      <c r="G1345" s="42"/>
      <c r="H1345" s="5" t="s">
        <v>358</v>
      </c>
      <c r="I1345" s="75">
        <f>10000+4000</f>
        <v>14000</v>
      </c>
      <c r="J1345" s="75">
        <v>0</v>
      </c>
      <c r="K1345" s="190">
        <f t="shared" si="112"/>
        <v>0</v>
      </c>
      <c r="L1345" s="99"/>
      <c r="M1345" s="75"/>
      <c r="N1345" s="75"/>
      <c r="O1345" s="189"/>
      <c r="P1345" s="99"/>
      <c r="Q1345" s="75">
        <f t="shared" si="113"/>
        <v>14000</v>
      </c>
      <c r="R1345" s="75">
        <f t="shared" si="114"/>
        <v>0</v>
      </c>
      <c r="S1345" s="188">
        <f t="shared" si="115"/>
        <v>0</v>
      </c>
    </row>
    <row r="1346" spans="2:19" ht="12.75">
      <c r="B1346" s="28">
        <f t="shared" si="116"/>
        <v>12</v>
      </c>
      <c r="C1346" s="5"/>
      <c r="D1346" s="5"/>
      <c r="E1346" s="5"/>
      <c r="F1346" s="33"/>
      <c r="G1346" s="42"/>
      <c r="H1346" s="5" t="s">
        <v>360</v>
      </c>
      <c r="I1346" s="75">
        <v>5000</v>
      </c>
      <c r="J1346" s="75">
        <v>5000</v>
      </c>
      <c r="K1346" s="190">
        <f t="shared" si="112"/>
        <v>100</v>
      </c>
      <c r="L1346" s="99"/>
      <c r="M1346" s="75"/>
      <c r="N1346" s="75"/>
      <c r="O1346" s="189"/>
      <c r="P1346" s="99"/>
      <c r="Q1346" s="75">
        <f t="shared" si="113"/>
        <v>5000</v>
      </c>
      <c r="R1346" s="75">
        <f t="shared" si="114"/>
        <v>5000</v>
      </c>
      <c r="S1346" s="188">
        <f t="shared" si="115"/>
        <v>100</v>
      </c>
    </row>
    <row r="1347" spans="2:19" s="13" customFormat="1" ht="22.5">
      <c r="B1347" s="28">
        <f t="shared" si="116"/>
        <v>13</v>
      </c>
      <c r="C1347" s="29"/>
      <c r="D1347" s="29"/>
      <c r="E1347" s="29"/>
      <c r="F1347" s="33"/>
      <c r="G1347" s="33"/>
      <c r="H1347" s="30" t="s">
        <v>299</v>
      </c>
      <c r="I1347" s="83">
        <v>5000</v>
      </c>
      <c r="J1347" s="83">
        <v>0</v>
      </c>
      <c r="K1347" s="190">
        <f t="shared" si="112"/>
        <v>0</v>
      </c>
      <c r="L1347" s="107"/>
      <c r="M1347" s="83"/>
      <c r="N1347" s="83"/>
      <c r="O1347" s="189"/>
      <c r="P1347" s="107"/>
      <c r="Q1347" s="83">
        <f t="shared" si="113"/>
        <v>5000</v>
      </c>
      <c r="R1347" s="83">
        <f t="shared" si="114"/>
        <v>0</v>
      </c>
      <c r="S1347" s="211">
        <f t="shared" si="115"/>
        <v>0</v>
      </c>
    </row>
    <row r="1348" spans="2:19" ht="12.75">
      <c r="B1348" s="28">
        <f t="shared" si="116"/>
        <v>14</v>
      </c>
      <c r="C1348" s="5"/>
      <c r="D1348" s="5"/>
      <c r="E1348" s="5"/>
      <c r="F1348" s="33"/>
      <c r="G1348" s="42"/>
      <c r="H1348" s="5" t="s">
        <v>359</v>
      </c>
      <c r="I1348" s="75">
        <v>35000</v>
      </c>
      <c r="J1348" s="75">
        <v>0</v>
      </c>
      <c r="K1348" s="190">
        <f t="shared" si="112"/>
        <v>0</v>
      </c>
      <c r="L1348" s="99"/>
      <c r="M1348" s="75"/>
      <c r="N1348" s="75"/>
      <c r="O1348" s="189"/>
      <c r="P1348" s="99"/>
      <c r="Q1348" s="75">
        <f t="shared" si="113"/>
        <v>35000</v>
      </c>
      <c r="R1348" s="75">
        <f t="shared" si="114"/>
        <v>0</v>
      </c>
      <c r="S1348" s="188">
        <f t="shared" si="115"/>
        <v>0</v>
      </c>
    </row>
    <row r="1349" spans="2:19" ht="12.75">
      <c r="B1349" s="28">
        <f t="shared" si="116"/>
        <v>15</v>
      </c>
      <c r="C1349" s="5"/>
      <c r="D1349" s="5"/>
      <c r="E1349" s="5"/>
      <c r="F1349" s="33"/>
      <c r="G1349" s="42"/>
      <c r="H1349" s="5" t="s">
        <v>357</v>
      </c>
      <c r="I1349" s="75">
        <f>55000-4000</f>
        <v>51000</v>
      </c>
      <c r="J1349" s="75">
        <v>0</v>
      </c>
      <c r="K1349" s="190">
        <f t="shared" si="112"/>
        <v>0</v>
      </c>
      <c r="L1349" s="99"/>
      <c r="M1349" s="75"/>
      <c r="N1349" s="75"/>
      <c r="O1349" s="189"/>
      <c r="P1349" s="99"/>
      <c r="Q1349" s="75">
        <f t="shared" si="113"/>
        <v>51000</v>
      </c>
      <c r="R1349" s="75">
        <f t="shared" si="114"/>
        <v>0</v>
      </c>
      <c r="S1349" s="188">
        <f t="shared" si="115"/>
        <v>0</v>
      </c>
    </row>
    <row r="1350" spans="2:19" ht="15">
      <c r="B1350" s="28">
        <f t="shared" si="116"/>
        <v>16</v>
      </c>
      <c r="C1350" s="7">
        <v>3</v>
      </c>
      <c r="D1350" s="277" t="s">
        <v>206</v>
      </c>
      <c r="E1350" s="278"/>
      <c r="F1350" s="278"/>
      <c r="G1350" s="278"/>
      <c r="H1350" s="279"/>
      <c r="I1350" s="79">
        <f>I1351+I1355+I1363+I1384+I1395</f>
        <v>1795263</v>
      </c>
      <c r="J1350" s="79">
        <f>J1351+J1355+J1363+J1384+J1395</f>
        <v>715217</v>
      </c>
      <c r="K1350" s="190">
        <f t="shared" si="112"/>
        <v>39.839121064713076</v>
      </c>
      <c r="L1350" s="175"/>
      <c r="M1350" s="79">
        <f>M1351+M1355+M1363+M1384+M1395</f>
        <v>130000</v>
      </c>
      <c r="N1350" s="79">
        <f>N1351+N1355+N1363+N1384+N1395</f>
        <v>87084</v>
      </c>
      <c r="O1350" s="189">
        <f>N1350/M1350*100</f>
        <v>66.9876923076923</v>
      </c>
      <c r="P1350" s="175"/>
      <c r="Q1350" s="79">
        <f t="shared" si="113"/>
        <v>1925263</v>
      </c>
      <c r="R1350" s="79">
        <f t="shared" si="114"/>
        <v>802301</v>
      </c>
      <c r="S1350" s="188">
        <f t="shared" si="115"/>
        <v>41.672280618284354</v>
      </c>
    </row>
    <row r="1351" spans="2:19" ht="15">
      <c r="B1351" s="28">
        <f t="shared" si="116"/>
        <v>17</v>
      </c>
      <c r="C1351" s="2"/>
      <c r="D1351" s="2">
        <v>1</v>
      </c>
      <c r="E1351" s="284" t="s">
        <v>205</v>
      </c>
      <c r="F1351" s="278"/>
      <c r="G1351" s="278"/>
      <c r="H1351" s="279"/>
      <c r="I1351" s="80">
        <f>I1352</f>
        <v>161450</v>
      </c>
      <c r="J1351" s="80">
        <f>J1352</f>
        <v>80709</v>
      </c>
      <c r="K1351" s="190">
        <f t="shared" si="112"/>
        <v>49.990089811087024</v>
      </c>
      <c r="L1351" s="176"/>
      <c r="M1351" s="80"/>
      <c r="N1351" s="80"/>
      <c r="O1351" s="189"/>
      <c r="P1351" s="176"/>
      <c r="Q1351" s="80">
        <f t="shared" si="113"/>
        <v>161450</v>
      </c>
      <c r="R1351" s="80">
        <f t="shared" si="114"/>
        <v>80709</v>
      </c>
      <c r="S1351" s="188">
        <f t="shared" si="115"/>
        <v>49.990089811087024</v>
      </c>
    </row>
    <row r="1352" spans="2:19" ht="12.75">
      <c r="B1352" s="28">
        <f t="shared" si="116"/>
        <v>18</v>
      </c>
      <c r="C1352" s="9"/>
      <c r="D1352" s="9"/>
      <c r="E1352" s="9"/>
      <c r="F1352" s="31" t="s">
        <v>185</v>
      </c>
      <c r="G1352" s="40">
        <v>630</v>
      </c>
      <c r="H1352" s="9" t="s">
        <v>125</v>
      </c>
      <c r="I1352" s="72">
        <f>SUM(I1353:I1354)</f>
        <v>161450</v>
      </c>
      <c r="J1352" s="72">
        <f>SUM(J1353:J1354)</f>
        <v>80709</v>
      </c>
      <c r="K1352" s="190">
        <f t="shared" si="112"/>
        <v>49.990089811087024</v>
      </c>
      <c r="L1352" s="177"/>
      <c r="M1352" s="72"/>
      <c r="N1352" s="72"/>
      <c r="O1352" s="189"/>
      <c r="P1352" s="177"/>
      <c r="Q1352" s="72">
        <f t="shared" si="113"/>
        <v>161450</v>
      </c>
      <c r="R1352" s="72">
        <f t="shared" si="114"/>
        <v>80709</v>
      </c>
      <c r="S1352" s="188">
        <f t="shared" si="115"/>
        <v>49.990089811087024</v>
      </c>
    </row>
    <row r="1353" spans="2:19" ht="12.75">
      <c r="B1353" s="28">
        <f aca="true" t="shared" si="117" ref="B1353:B1399">B1352+1</f>
        <v>19</v>
      </c>
      <c r="C1353" s="4"/>
      <c r="D1353" s="4"/>
      <c r="E1353" s="4"/>
      <c r="F1353" s="32" t="s">
        <v>185</v>
      </c>
      <c r="G1353" s="41">
        <v>636</v>
      </c>
      <c r="H1353" s="4" t="s">
        <v>130</v>
      </c>
      <c r="I1353" s="71">
        <v>159950</v>
      </c>
      <c r="J1353" s="71">
        <v>79975</v>
      </c>
      <c r="K1353" s="190">
        <f t="shared" si="112"/>
        <v>50</v>
      </c>
      <c r="L1353" s="178"/>
      <c r="M1353" s="71"/>
      <c r="N1353" s="71"/>
      <c r="O1353" s="189"/>
      <c r="P1353" s="178"/>
      <c r="Q1353" s="71">
        <f t="shared" si="113"/>
        <v>159950</v>
      </c>
      <c r="R1353" s="71">
        <f t="shared" si="114"/>
        <v>79975</v>
      </c>
      <c r="S1353" s="188">
        <f t="shared" si="115"/>
        <v>50</v>
      </c>
    </row>
    <row r="1354" spans="2:19" ht="12.75">
      <c r="B1354" s="28">
        <f t="shared" si="117"/>
        <v>20</v>
      </c>
      <c r="C1354" s="4"/>
      <c r="D1354" s="4"/>
      <c r="E1354" s="4"/>
      <c r="F1354" s="32" t="s">
        <v>185</v>
      </c>
      <c r="G1354" s="41">
        <v>637</v>
      </c>
      <c r="H1354" s="4" t="s">
        <v>126</v>
      </c>
      <c r="I1354" s="71">
        <v>1500</v>
      </c>
      <c r="J1354" s="71">
        <v>734</v>
      </c>
      <c r="K1354" s="190">
        <f t="shared" si="112"/>
        <v>48.93333333333334</v>
      </c>
      <c r="L1354" s="178"/>
      <c r="M1354" s="71"/>
      <c r="N1354" s="71"/>
      <c r="O1354" s="189"/>
      <c r="P1354" s="178"/>
      <c r="Q1354" s="71">
        <f t="shared" si="113"/>
        <v>1500</v>
      </c>
      <c r="R1354" s="71">
        <f t="shared" si="114"/>
        <v>734</v>
      </c>
      <c r="S1354" s="188">
        <f t="shared" si="115"/>
        <v>48.93333333333334</v>
      </c>
    </row>
    <row r="1355" spans="2:19" ht="15">
      <c r="B1355" s="28">
        <f t="shared" si="117"/>
        <v>21</v>
      </c>
      <c r="C1355" s="2"/>
      <c r="D1355" s="2">
        <v>2</v>
      </c>
      <c r="E1355" s="284" t="s">
        <v>207</v>
      </c>
      <c r="F1355" s="278"/>
      <c r="G1355" s="278"/>
      <c r="H1355" s="279"/>
      <c r="I1355" s="80">
        <f>I1356</f>
        <v>210800</v>
      </c>
      <c r="J1355" s="80">
        <f>J1356</f>
        <v>156705</v>
      </c>
      <c r="K1355" s="190">
        <f t="shared" si="112"/>
        <v>74.33823529411765</v>
      </c>
      <c r="L1355" s="176"/>
      <c r="M1355" s="80">
        <f>M1360</f>
        <v>30000</v>
      </c>
      <c r="N1355" s="80">
        <f>N1360</f>
        <v>0</v>
      </c>
      <c r="O1355" s="189">
        <f>N1355/M1355*100</f>
        <v>0</v>
      </c>
      <c r="P1355" s="176"/>
      <c r="Q1355" s="80">
        <f t="shared" si="113"/>
        <v>240800</v>
      </c>
      <c r="R1355" s="80">
        <f t="shared" si="114"/>
        <v>156705</v>
      </c>
      <c r="S1355" s="188">
        <f t="shared" si="115"/>
        <v>65.07682724252491</v>
      </c>
    </row>
    <row r="1356" spans="2:19" ht="12.75">
      <c r="B1356" s="28">
        <f t="shared" si="117"/>
        <v>22</v>
      </c>
      <c r="C1356" s="9"/>
      <c r="D1356" s="9"/>
      <c r="E1356" s="9"/>
      <c r="F1356" s="31" t="s">
        <v>185</v>
      </c>
      <c r="G1356" s="40">
        <v>630</v>
      </c>
      <c r="H1356" s="9" t="s">
        <v>125</v>
      </c>
      <c r="I1356" s="72">
        <f>SUM(I1357:I1359)</f>
        <v>210800</v>
      </c>
      <c r="J1356" s="72">
        <f>SUM(J1357:J1359)</f>
        <v>156705</v>
      </c>
      <c r="K1356" s="190">
        <f t="shared" si="112"/>
        <v>74.33823529411765</v>
      </c>
      <c r="L1356" s="177"/>
      <c r="M1356" s="72"/>
      <c r="N1356" s="72"/>
      <c r="O1356" s="189"/>
      <c r="P1356" s="177"/>
      <c r="Q1356" s="72">
        <f t="shared" si="113"/>
        <v>210800</v>
      </c>
      <c r="R1356" s="72">
        <f t="shared" si="114"/>
        <v>156705</v>
      </c>
      <c r="S1356" s="188">
        <f t="shared" si="115"/>
        <v>74.33823529411765</v>
      </c>
    </row>
    <row r="1357" spans="2:19" ht="12.75">
      <c r="B1357" s="28">
        <f t="shared" si="117"/>
        <v>23</v>
      </c>
      <c r="C1357" s="4"/>
      <c r="D1357" s="4"/>
      <c r="E1357" s="4"/>
      <c r="F1357" s="32" t="s">
        <v>185</v>
      </c>
      <c r="G1357" s="41">
        <v>632</v>
      </c>
      <c r="H1357" s="4" t="s">
        <v>138</v>
      </c>
      <c r="I1357" s="71">
        <f>6000+3300</f>
        <v>9300</v>
      </c>
      <c r="J1357" s="71">
        <f>4794+1039</f>
        <v>5833</v>
      </c>
      <c r="K1357" s="190">
        <f t="shared" si="112"/>
        <v>62.72043010752688</v>
      </c>
      <c r="L1357" s="178"/>
      <c r="M1357" s="71"/>
      <c r="N1357" s="71"/>
      <c r="O1357" s="189"/>
      <c r="P1357" s="178"/>
      <c r="Q1357" s="71">
        <f t="shared" si="113"/>
        <v>9300</v>
      </c>
      <c r="R1357" s="71">
        <f t="shared" si="114"/>
        <v>5833</v>
      </c>
      <c r="S1357" s="188">
        <f t="shared" si="115"/>
        <v>62.72043010752688</v>
      </c>
    </row>
    <row r="1358" spans="2:19" ht="12.75">
      <c r="B1358" s="28">
        <f t="shared" si="117"/>
        <v>24</v>
      </c>
      <c r="C1358" s="4"/>
      <c r="D1358" s="4"/>
      <c r="E1358" s="4"/>
      <c r="F1358" s="32" t="s">
        <v>185</v>
      </c>
      <c r="G1358" s="41">
        <v>636</v>
      </c>
      <c r="H1358" s="4" t="s">
        <v>130</v>
      </c>
      <c r="I1358" s="71">
        <v>200000</v>
      </c>
      <c r="J1358" s="71">
        <v>150000</v>
      </c>
      <c r="K1358" s="190">
        <f t="shared" si="112"/>
        <v>75</v>
      </c>
      <c r="L1358" s="178"/>
      <c r="M1358" s="71"/>
      <c r="N1358" s="71"/>
      <c r="O1358" s="189"/>
      <c r="P1358" s="178"/>
      <c r="Q1358" s="71">
        <f t="shared" si="113"/>
        <v>200000</v>
      </c>
      <c r="R1358" s="71">
        <f t="shared" si="114"/>
        <v>150000</v>
      </c>
      <c r="S1358" s="188">
        <f t="shared" si="115"/>
        <v>75</v>
      </c>
    </row>
    <row r="1359" spans="2:19" ht="12.75">
      <c r="B1359" s="28">
        <f t="shared" si="117"/>
        <v>25</v>
      </c>
      <c r="C1359" s="4"/>
      <c r="D1359" s="4"/>
      <c r="E1359" s="4"/>
      <c r="F1359" s="32" t="s">
        <v>185</v>
      </c>
      <c r="G1359" s="41">
        <v>637</v>
      </c>
      <c r="H1359" s="4" t="s">
        <v>126</v>
      </c>
      <c r="I1359" s="71">
        <v>1500</v>
      </c>
      <c r="J1359" s="71">
        <v>872</v>
      </c>
      <c r="K1359" s="190">
        <f t="shared" si="112"/>
        <v>58.13333333333334</v>
      </c>
      <c r="L1359" s="178"/>
      <c r="M1359" s="71"/>
      <c r="N1359" s="71"/>
      <c r="O1359" s="189"/>
      <c r="P1359" s="178"/>
      <c r="Q1359" s="71">
        <f t="shared" si="113"/>
        <v>1500</v>
      </c>
      <c r="R1359" s="71">
        <f t="shared" si="114"/>
        <v>872</v>
      </c>
      <c r="S1359" s="188">
        <f t="shared" si="115"/>
        <v>58.13333333333334</v>
      </c>
    </row>
    <row r="1360" spans="2:19" ht="12.75">
      <c r="B1360" s="28">
        <f t="shared" si="117"/>
        <v>26</v>
      </c>
      <c r="C1360" s="9"/>
      <c r="D1360" s="9"/>
      <c r="E1360" s="9"/>
      <c r="F1360" s="31" t="s">
        <v>185</v>
      </c>
      <c r="G1360" s="40">
        <v>710</v>
      </c>
      <c r="H1360" s="9" t="s">
        <v>180</v>
      </c>
      <c r="I1360" s="72"/>
      <c r="J1360" s="72"/>
      <c r="K1360" s="190"/>
      <c r="L1360" s="177"/>
      <c r="M1360" s="72">
        <f>M1361</f>
        <v>30000</v>
      </c>
      <c r="N1360" s="72">
        <f>N1361</f>
        <v>0</v>
      </c>
      <c r="O1360" s="189">
        <f>N1360/M1360*100</f>
        <v>0</v>
      </c>
      <c r="P1360" s="177"/>
      <c r="Q1360" s="72">
        <f t="shared" si="113"/>
        <v>30000</v>
      </c>
      <c r="R1360" s="72">
        <f t="shared" si="114"/>
        <v>0</v>
      </c>
      <c r="S1360" s="188">
        <f t="shared" si="115"/>
        <v>0</v>
      </c>
    </row>
    <row r="1361" spans="2:19" ht="12.75">
      <c r="B1361" s="28">
        <f t="shared" si="117"/>
        <v>27</v>
      </c>
      <c r="C1361" s="4"/>
      <c r="D1361" s="4"/>
      <c r="E1361" s="4"/>
      <c r="F1361" s="32" t="s">
        <v>185</v>
      </c>
      <c r="G1361" s="41">
        <v>717</v>
      </c>
      <c r="H1361" s="4" t="s">
        <v>190</v>
      </c>
      <c r="I1361" s="71"/>
      <c r="J1361" s="71"/>
      <c r="K1361" s="190"/>
      <c r="L1361" s="178"/>
      <c r="M1361" s="71">
        <f>M1362</f>
        <v>30000</v>
      </c>
      <c r="N1361" s="71">
        <f>N1362</f>
        <v>0</v>
      </c>
      <c r="O1361" s="189">
        <f>N1361/M1361*100</f>
        <v>0</v>
      </c>
      <c r="P1361" s="178"/>
      <c r="Q1361" s="75">
        <f t="shared" si="113"/>
        <v>30000</v>
      </c>
      <c r="R1361" s="75">
        <f t="shared" si="114"/>
        <v>0</v>
      </c>
      <c r="S1361" s="188">
        <f t="shared" si="115"/>
        <v>0</v>
      </c>
    </row>
    <row r="1362" spans="2:19" ht="12.75">
      <c r="B1362" s="28">
        <f t="shared" si="117"/>
        <v>28</v>
      </c>
      <c r="C1362" s="5"/>
      <c r="D1362" s="5"/>
      <c r="E1362" s="5"/>
      <c r="F1362" s="33"/>
      <c r="G1362" s="42"/>
      <c r="H1362" s="5" t="s">
        <v>468</v>
      </c>
      <c r="I1362" s="75"/>
      <c r="J1362" s="75"/>
      <c r="K1362" s="190"/>
      <c r="L1362" s="99"/>
      <c r="M1362" s="75">
        <v>30000</v>
      </c>
      <c r="N1362" s="75">
        <v>0</v>
      </c>
      <c r="O1362" s="189">
        <f>N1362/M1362*100</f>
        <v>0</v>
      </c>
      <c r="P1362" s="99"/>
      <c r="Q1362" s="75">
        <f t="shared" si="113"/>
        <v>30000</v>
      </c>
      <c r="R1362" s="75">
        <f t="shared" si="114"/>
        <v>0</v>
      </c>
      <c r="S1362" s="188">
        <f t="shared" si="115"/>
        <v>0</v>
      </c>
    </row>
    <row r="1363" spans="2:19" ht="15">
      <c r="B1363" s="28">
        <f t="shared" si="117"/>
        <v>29</v>
      </c>
      <c r="C1363" s="2"/>
      <c r="D1363" s="2">
        <v>3</v>
      </c>
      <c r="E1363" s="284" t="s">
        <v>208</v>
      </c>
      <c r="F1363" s="278"/>
      <c r="G1363" s="278"/>
      <c r="H1363" s="279"/>
      <c r="I1363" s="80">
        <f>I1364+I1370+I1381</f>
        <v>593440</v>
      </c>
      <c r="J1363" s="80">
        <f>J1364+J1370+J1381</f>
        <v>218983</v>
      </c>
      <c r="K1363" s="190">
        <f t="shared" si="112"/>
        <v>36.900613372876784</v>
      </c>
      <c r="L1363" s="176"/>
      <c r="M1363" s="80">
        <f>M1367+M1370</f>
        <v>100000</v>
      </c>
      <c r="N1363" s="80">
        <f>N1367+N1370</f>
        <v>87084</v>
      </c>
      <c r="O1363" s="189">
        <f>N1363/M1363*100</f>
        <v>87.08399999999999</v>
      </c>
      <c r="P1363" s="176"/>
      <c r="Q1363" s="80">
        <f t="shared" si="113"/>
        <v>693440</v>
      </c>
      <c r="R1363" s="80">
        <f t="shared" si="114"/>
        <v>306067</v>
      </c>
      <c r="S1363" s="188">
        <f t="shared" si="115"/>
        <v>44.13748846331333</v>
      </c>
    </row>
    <row r="1364" spans="2:19" ht="12.75">
      <c r="B1364" s="28">
        <f t="shared" si="117"/>
        <v>30</v>
      </c>
      <c r="C1364" s="9"/>
      <c r="D1364" s="9"/>
      <c r="E1364" s="9"/>
      <c r="F1364" s="31" t="s">
        <v>185</v>
      </c>
      <c r="G1364" s="40">
        <v>630</v>
      </c>
      <c r="H1364" s="9" t="s">
        <v>125</v>
      </c>
      <c r="I1364" s="72">
        <f>I1366+I1365</f>
        <v>40000</v>
      </c>
      <c r="J1364" s="72">
        <f>J1366+J1365</f>
        <v>20031</v>
      </c>
      <c r="K1364" s="190">
        <f t="shared" si="112"/>
        <v>50.0775</v>
      </c>
      <c r="L1364" s="177"/>
      <c r="M1364" s="72"/>
      <c r="N1364" s="72"/>
      <c r="O1364" s="189"/>
      <c r="P1364" s="177"/>
      <c r="Q1364" s="72">
        <f t="shared" si="113"/>
        <v>40000</v>
      </c>
      <c r="R1364" s="72">
        <f t="shared" si="114"/>
        <v>20031</v>
      </c>
      <c r="S1364" s="188">
        <f t="shared" si="115"/>
        <v>50.0775</v>
      </c>
    </row>
    <row r="1365" spans="2:19" ht="12.75">
      <c r="B1365" s="28">
        <f t="shared" si="117"/>
        <v>31</v>
      </c>
      <c r="C1365" s="9"/>
      <c r="D1365" s="9"/>
      <c r="E1365" s="9"/>
      <c r="F1365" s="32" t="s">
        <v>185</v>
      </c>
      <c r="G1365" s="41">
        <v>636</v>
      </c>
      <c r="H1365" s="4" t="s">
        <v>518</v>
      </c>
      <c r="I1365" s="71">
        <v>35000</v>
      </c>
      <c r="J1365" s="71">
        <v>17496</v>
      </c>
      <c r="K1365" s="190">
        <f t="shared" si="112"/>
        <v>49.988571428571426</v>
      </c>
      <c r="L1365" s="178"/>
      <c r="M1365" s="71"/>
      <c r="N1365" s="71"/>
      <c r="O1365" s="189"/>
      <c r="P1365" s="178"/>
      <c r="Q1365" s="71">
        <f t="shared" si="113"/>
        <v>35000</v>
      </c>
      <c r="R1365" s="71">
        <f t="shared" si="114"/>
        <v>17496</v>
      </c>
      <c r="S1365" s="188">
        <f t="shared" si="115"/>
        <v>49.988571428571426</v>
      </c>
    </row>
    <row r="1366" spans="2:19" ht="12.75">
      <c r="B1366" s="28">
        <f t="shared" si="117"/>
        <v>32</v>
      </c>
      <c r="C1366" s="4"/>
      <c r="D1366" s="4"/>
      <c r="E1366" s="4"/>
      <c r="F1366" s="32" t="s">
        <v>185</v>
      </c>
      <c r="G1366" s="41">
        <v>637</v>
      </c>
      <c r="H1366" s="4" t="s">
        <v>126</v>
      </c>
      <c r="I1366" s="71">
        <v>5000</v>
      </c>
      <c r="J1366" s="71">
        <v>2535</v>
      </c>
      <c r="K1366" s="190">
        <f t="shared" si="112"/>
        <v>50.7</v>
      </c>
      <c r="L1366" s="178"/>
      <c r="M1366" s="71"/>
      <c r="N1366" s="71"/>
      <c r="O1366" s="189"/>
      <c r="P1366" s="178"/>
      <c r="Q1366" s="71">
        <f t="shared" si="113"/>
        <v>5000</v>
      </c>
      <c r="R1366" s="71">
        <f t="shared" si="114"/>
        <v>2535</v>
      </c>
      <c r="S1366" s="188">
        <f t="shared" si="115"/>
        <v>50.7</v>
      </c>
    </row>
    <row r="1367" spans="2:19" ht="12.75">
      <c r="B1367" s="28">
        <f t="shared" si="117"/>
        <v>33</v>
      </c>
      <c r="C1367" s="9"/>
      <c r="D1367" s="9"/>
      <c r="E1367" s="9"/>
      <c r="F1367" s="31" t="s">
        <v>185</v>
      </c>
      <c r="G1367" s="40">
        <v>710</v>
      </c>
      <c r="H1367" s="9" t="s">
        <v>180</v>
      </c>
      <c r="I1367" s="72"/>
      <c r="J1367" s="72"/>
      <c r="K1367" s="190"/>
      <c r="L1367" s="177"/>
      <c r="M1367" s="72">
        <f>M1368</f>
        <v>100000</v>
      </c>
      <c r="N1367" s="72">
        <f>N1368</f>
        <v>87084</v>
      </c>
      <c r="O1367" s="189">
        <f>N1367/M1367*100</f>
        <v>87.08399999999999</v>
      </c>
      <c r="P1367" s="177"/>
      <c r="Q1367" s="72">
        <f t="shared" si="113"/>
        <v>100000</v>
      </c>
      <c r="R1367" s="72">
        <f t="shared" si="114"/>
        <v>87084</v>
      </c>
      <c r="S1367" s="188">
        <f t="shared" si="115"/>
        <v>87.08399999999999</v>
      </c>
    </row>
    <row r="1368" spans="2:19" ht="12.75">
      <c r="B1368" s="28">
        <f t="shared" si="117"/>
        <v>34</v>
      </c>
      <c r="C1368" s="4"/>
      <c r="D1368" s="4"/>
      <c r="E1368" s="4"/>
      <c r="F1368" s="32" t="s">
        <v>185</v>
      </c>
      <c r="G1368" s="41">
        <v>716</v>
      </c>
      <c r="H1368" s="4" t="s">
        <v>225</v>
      </c>
      <c r="I1368" s="71"/>
      <c r="J1368" s="71"/>
      <c r="K1368" s="190"/>
      <c r="L1368" s="178"/>
      <c r="M1368" s="71">
        <f>M1369</f>
        <v>100000</v>
      </c>
      <c r="N1368" s="71">
        <f>N1369</f>
        <v>87084</v>
      </c>
      <c r="O1368" s="189">
        <f>N1368/M1368*100</f>
        <v>87.08399999999999</v>
      </c>
      <c r="P1368" s="178"/>
      <c r="Q1368" s="71">
        <f t="shared" si="113"/>
        <v>100000</v>
      </c>
      <c r="R1368" s="71">
        <f t="shared" si="114"/>
        <v>87084</v>
      </c>
      <c r="S1368" s="188">
        <f t="shared" si="115"/>
        <v>87.08399999999999</v>
      </c>
    </row>
    <row r="1369" spans="2:19" ht="12.75">
      <c r="B1369" s="28">
        <f t="shared" si="117"/>
        <v>35</v>
      </c>
      <c r="C1369" s="5"/>
      <c r="D1369" s="5"/>
      <c r="E1369" s="5"/>
      <c r="F1369" s="33"/>
      <c r="G1369" s="42"/>
      <c r="H1369" s="5" t="s">
        <v>509</v>
      </c>
      <c r="I1369" s="75"/>
      <c r="J1369" s="75"/>
      <c r="K1369" s="190"/>
      <c r="L1369" s="99"/>
      <c r="M1369" s="75">
        <v>100000</v>
      </c>
      <c r="N1369" s="75">
        <v>87084</v>
      </c>
      <c r="O1369" s="189">
        <f>N1369/M1369*100</f>
        <v>87.08399999999999</v>
      </c>
      <c r="P1369" s="99"/>
      <c r="Q1369" s="75">
        <f t="shared" si="113"/>
        <v>100000</v>
      </c>
      <c r="R1369" s="75">
        <f t="shared" si="114"/>
        <v>87084</v>
      </c>
      <c r="S1369" s="188">
        <f t="shared" si="115"/>
        <v>87.08399999999999</v>
      </c>
    </row>
    <row r="1370" spans="2:19" ht="15">
      <c r="B1370" s="28">
        <f t="shared" si="117"/>
        <v>36</v>
      </c>
      <c r="C1370" s="12"/>
      <c r="D1370" s="12"/>
      <c r="E1370" s="12">
        <v>2</v>
      </c>
      <c r="F1370" s="35"/>
      <c r="G1370" s="43"/>
      <c r="H1370" s="12" t="s">
        <v>15</v>
      </c>
      <c r="I1370" s="82">
        <f>I1371+I1372+I1373+I1380</f>
        <v>513440</v>
      </c>
      <c r="J1370" s="82">
        <f>J1371+J1372+J1373+J1380</f>
        <v>190382</v>
      </c>
      <c r="K1370" s="190">
        <f t="shared" si="112"/>
        <v>37.07969772514802</v>
      </c>
      <c r="L1370" s="182"/>
      <c r="M1370" s="82"/>
      <c r="N1370" s="82"/>
      <c r="O1370" s="189"/>
      <c r="P1370" s="182"/>
      <c r="Q1370" s="82">
        <f t="shared" si="113"/>
        <v>513440</v>
      </c>
      <c r="R1370" s="82">
        <f t="shared" si="114"/>
        <v>190382</v>
      </c>
      <c r="S1370" s="188">
        <f t="shared" si="115"/>
        <v>37.07969772514802</v>
      </c>
    </row>
    <row r="1371" spans="2:19" ht="12.75">
      <c r="B1371" s="28">
        <f t="shared" si="117"/>
        <v>37</v>
      </c>
      <c r="C1371" s="9"/>
      <c r="D1371" s="9"/>
      <c r="E1371" s="9"/>
      <c r="F1371" s="31" t="s">
        <v>185</v>
      </c>
      <c r="G1371" s="40">
        <v>610</v>
      </c>
      <c r="H1371" s="9" t="s">
        <v>134</v>
      </c>
      <c r="I1371" s="72">
        <v>87115</v>
      </c>
      <c r="J1371" s="72">
        <v>34605</v>
      </c>
      <c r="K1371" s="190">
        <f t="shared" si="112"/>
        <v>39.7233541869942</v>
      </c>
      <c r="L1371" s="177"/>
      <c r="M1371" s="72"/>
      <c r="N1371" s="72"/>
      <c r="O1371" s="189"/>
      <c r="P1371" s="177"/>
      <c r="Q1371" s="72">
        <f t="shared" si="113"/>
        <v>87115</v>
      </c>
      <c r="R1371" s="72">
        <f t="shared" si="114"/>
        <v>34605</v>
      </c>
      <c r="S1371" s="188">
        <f t="shared" si="115"/>
        <v>39.7233541869942</v>
      </c>
    </row>
    <row r="1372" spans="2:19" ht="12.75">
      <c r="B1372" s="28">
        <f t="shared" si="117"/>
        <v>38</v>
      </c>
      <c r="C1372" s="9"/>
      <c r="D1372" s="9"/>
      <c r="E1372" s="9"/>
      <c r="F1372" s="31" t="s">
        <v>185</v>
      </c>
      <c r="G1372" s="40">
        <v>620</v>
      </c>
      <c r="H1372" s="9" t="s">
        <v>128</v>
      </c>
      <c r="I1372" s="72">
        <v>31900</v>
      </c>
      <c r="J1372" s="72">
        <v>11096</v>
      </c>
      <c r="K1372" s="190">
        <f t="shared" si="112"/>
        <v>34.78369905956113</v>
      </c>
      <c r="L1372" s="177"/>
      <c r="M1372" s="72"/>
      <c r="N1372" s="72"/>
      <c r="O1372" s="189"/>
      <c r="P1372" s="177"/>
      <c r="Q1372" s="72">
        <f t="shared" si="113"/>
        <v>31900</v>
      </c>
      <c r="R1372" s="72">
        <f t="shared" si="114"/>
        <v>11096</v>
      </c>
      <c r="S1372" s="188">
        <f t="shared" si="115"/>
        <v>34.78369905956113</v>
      </c>
    </row>
    <row r="1373" spans="2:19" ht="12.75">
      <c r="B1373" s="28">
        <f t="shared" si="117"/>
        <v>39</v>
      </c>
      <c r="C1373" s="9"/>
      <c r="D1373" s="9"/>
      <c r="E1373" s="9"/>
      <c r="F1373" s="31" t="s">
        <v>185</v>
      </c>
      <c r="G1373" s="40">
        <v>630</v>
      </c>
      <c r="H1373" s="9" t="s">
        <v>125</v>
      </c>
      <c r="I1373" s="72">
        <f>SUM(I1374:I1379)</f>
        <v>392725</v>
      </c>
      <c r="J1373" s="72">
        <f>SUM(J1374:J1379)</f>
        <v>144560</v>
      </c>
      <c r="K1373" s="190">
        <f t="shared" si="112"/>
        <v>36.809472277038644</v>
      </c>
      <c r="L1373" s="177"/>
      <c r="M1373" s="72"/>
      <c r="N1373" s="72"/>
      <c r="O1373" s="189"/>
      <c r="P1373" s="177"/>
      <c r="Q1373" s="72">
        <f t="shared" si="113"/>
        <v>392725</v>
      </c>
      <c r="R1373" s="72">
        <f t="shared" si="114"/>
        <v>144560</v>
      </c>
      <c r="S1373" s="188">
        <f t="shared" si="115"/>
        <v>36.809472277038644</v>
      </c>
    </row>
    <row r="1374" spans="2:19" ht="12.75">
      <c r="B1374" s="28">
        <f t="shared" si="117"/>
        <v>40</v>
      </c>
      <c r="C1374" s="4"/>
      <c r="D1374" s="4"/>
      <c r="E1374" s="4"/>
      <c r="F1374" s="32" t="s">
        <v>185</v>
      </c>
      <c r="G1374" s="41">
        <v>632</v>
      </c>
      <c r="H1374" s="4" t="s">
        <v>138</v>
      </c>
      <c r="I1374" s="71">
        <v>248000</v>
      </c>
      <c r="J1374" s="71">
        <v>112611</v>
      </c>
      <c r="K1374" s="190">
        <f t="shared" si="112"/>
        <v>45.40766129032258</v>
      </c>
      <c r="L1374" s="178"/>
      <c r="M1374" s="71"/>
      <c r="N1374" s="71"/>
      <c r="O1374" s="189"/>
      <c r="P1374" s="178"/>
      <c r="Q1374" s="71">
        <f t="shared" si="113"/>
        <v>248000</v>
      </c>
      <c r="R1374" s="71">
        <f t="shared" si="114"/>
        <v>112611</v>
      </c>
      <c r="S1374" s="188">
        <f t="shared" si="115"/>
        <v>45.40766129032258</v>
      </c>
    </row>
    <row r="1375" spans="2:19" ht="12.75">
      <c r="B1375" s="28">
        <f t="shared" si="117"/>
        <v>41</v>
      </c>
      <c r="C1375" s="4"/>
      <c r="D1375" s="4"/>
      <c r="E1375" s="4"/>
      <c r="F1375" s="32" t="s">
        <v>185</v>
      </c>
      <c r="G1375" s="41">
        <v>633</v>
      </c>
      <c r="H1375" s="4" t="s">
        <v>129</v>
      </c>
      <c r="I1375" s="71">
        <v>26000</v>
      </c>
      <c r="J1375" s="71">
        <v>2751</v>
      </c>
      <c r="K1375" s="190">
        <f t="shared" si="112"/>
        <v>10.580769230769231</v>
      </c>
      <c r="L1375" s="178"/>
      <c r="M1375" s="71"/>
      <c r="N1375" s="71"/>
      <c r="O1375" s="189"/>
      <c r="P1375" s="178"/>
      <c r="Q1375" s="71">
        <f t="shared" si="113"/>
        <v>26000</v>
      </c>
      <c r="R1375" s="71">
        <f t="shared" si="114"/>
        <v>2751</v>
      </c>
      <c r="S1375" s="188">
        <f t="shared" si="115"/>
        <v>10.580769230769231</v>
      </c>
    </row>
    <row r="1376" spans="2:19" ht="12.75">
      <c r="B1376" s="28">
        <f t="shared" si="117"/>
        <v>42</v>
      </c>
      <c r="C1376" s="4"/>
      <c r="D1376" s="4"/>
      <c r="E1376" s="4"/>
      <c r="F1376" s="32" t="s">
        <v>185</v>
      </c>
      <c r="G1376" s="41">
        <v>635</v>
      </c>
      <c r="H1376" s="4" t="s">
        <v>136</v>
      </c>
      <c r="I1376" s="71">
        <v>59500</v>
      </c>
      <c r="J1376" s="71">
        <v>13673</v>
      </c>
      <c r="K1376" s="190">
        <f t="shared" si="112"/>
        <v>22.97983193277311</v>
      </c>
      <c r="L1376" s="178"/>
      <c r="M1376" s="71"/>
      <c r="N1376" s="71"/>
      <c r="O1376" s="189"/>
      <c r="P1376" s="178"/>
      <c r="Q1376" s="71">
        <f t="shared" si="113"/>
        <v>59500</v>
      </c>
      <c r="R1376" s="71">
        <f t="shared" si="114"/>
        <v>13673</v>
      </c>
      <c r="S1376" s="188">
        <f t="shared" si="115"/>
        <v>22.97983193277311</v>
      </c>
    </row>
    <row r="1377" spans="2:19" ht="12.75">
      <c r="B1377" s="28">
        <f t="shared" si="117"/>
        <v>43</v>
      </c>
      <c r="C1377" s="4"/>
      <c r="D1377" s="4"/>
      <c r="E1377" s="4"/>
      <c r="F1377" s="32" t="s">
        <v>185</v>
      </c>
      <c r="G1377" s="41">
        <v>636</v>
      </c>
      <c r="H1377" s="4" t="s">
        <v>130</v>
      </c>
      <c r="I1377" s="71">
        <v>200</v>
      </c>
      <c r="J1377" s="71">
        <v>0</v>
      </c>
      <c r="K1377" s="190">
        <f t="shared" si="112"/>
        <v>0</v>
      </c>
      <c r="L1377" s="178"/>
      <c r="M1377" s="71"/>
      <c r="N1377" s="71"/>
      <c r="O1377" s="189"/>
      <c r="P1377" s="178"/>
      <c r="Q1377" s="71">
        <f t="shared" si="113"/>
        <v>200</v>
      </c>
      <c r="R1377" s="71">
        <f t="shared" si="114"/>
        <v>0</v>
      </c>
      <c r="S1377" s="188">
        <f t="shared" si="115"/>
        <v>0</v>
      </c>
    </row>
    <row r="1378" spans="2:19" ht="12.75">
      <c r="B1378" s="28">
        <f t="shared" si="117"/>
        <v>44</v>
      </c>
      <c r="C1378" s="4"/>
      <c r="D1378" s="4"/>
      <c r="E1378" s="4"/>
      <c r="F1378" s="32" t="s">
        <v>185</v>
      </c>
      <c r="G1378" s="41">
        <v>637</v>
      </c>
      <c r="H1378" s="4" t="s">
        <v>126</v>
      </c>
      <c r="I1378" s="71">
        <v>57100</v>
      </c>
      <c r="J1378" s="71">
        <v>15525</v>
      </c>
      <c r="K1378" s="190">
        <f t="shared" si="112"/>
        <v>27.189141856392297</v>
      </c>
      <c r="L1378" s="178"/>
      <c r="M1378" s="71"/>
      <c r="N1378" s="71"/>
      <c r="O1378" s="189"/>
      <c r="P1378" s="178"/>
      <c r="Q1378" s="71">
        <f t="shared" si="113"/>
        <v>57100</v>
      </c>
      <c r="R1378" s="71">
        <f t="shared" si="114"/>
        <v>15525</v>
      </c>
      <c r="S1378" s="188">
        <f t="shared" si="115"/>
        <v>27.189141856392297</v>
      </c>
    </row>
    <row r="1379" spans="2:19" ht="12.75">
      <c r="B1379" s="28">
        <f t="shared" si="117"/>
        <v>45</v>
      </c>
      <c r="C1379" s="4"/>
      <c r="D1379" s="4"/>
      <c r="E1379" s="4"/>
      <c r="F1379" s="32" t="s">
        <v>185</v>
      </c>
      <c r="G1379" s="41">
        <v>637</v>
      </c>
      <c r="H1379" s="4" t="s">
        <v>295</v>
      </c>
      <c r="I1379" s="71">
        <v>1925</v>
      </c>
      <c r="J1379" s="71">
        <v>0</v>
      </c>
      <c r="K1379" s="190">
        <f t="shared" si="112"/>
        <v>0</v>
      </c>
      <c r="L1379" s="178"/>
      <c r="M1379" s="71"/>
      <c r="N1379" s="71"/>
      <c r="O1379" s="189"/>
      <c r="P1379" s="178"/>
      <c r="Q1379" s="71">
        <f t="shared" si="113"/>
        <v>1925</v>
      </c>
      <c r="R1379" s="71">
        <f t="shared" si="114"/>
        <v>0</v>
      </c>
      <c r="S1379" s="188">
        <f t="shared" si="115"/>
        <v>0</v>
      </c>
    </row>
    <row r="1380" spans="2:19" ht="12.75">
      <c r="B1380" s="28">
        <f t="shared" si="117"/>
        <v>46</v>
      </c>
      <c r="C1380" s="9"/>
      <c r="D1380" s="9"/>
      <c r="E1380" s="9"/>
      <c r="F1380" s="31" t="s">
        <v>185</v>
      </c>
      <c r="G1380" s="40">
        <v>640</v>
      </c>
      <c r="H1380" s="9" t="s">
        <v>132</v>
      </c>
      <c r="I1380" s="72">
        <v>1700</v>
      </c>
      <c r="J1380" s="72">
        <v>121</v>
      </c>
      <c r="K1380" s="190">
        <f t="shared" si="112"/>
        <v>7.11764705882353</v>
      </c>
      <c r="L1380" s="177"/>
      <c r="M1380" s="72"/>
      <c r="N1380" s="72"/>
      <c r="O1380" s="189"/>
      <c r="P1380" s="177"/>
      <c r="Q1380" s="72">
        <f t="shared" si="113"/>
        <v>1700</v>
      </c>
      <c r="R1380" s="72">
        <f t="shared" si="114"/>
        <v>121</v>
      </c>
      <c r="S1380" s="188">
        <f t="shared" si="115"/>
        <v>7.11764705882353</v>
      </c>
    </row>
    <row r="1381" spans="2:19" ht="15">
      <c r="B1381" s="28">
        <f t="shared" si="117"/>
        <v>47</v>
      </c>
      <c r="C1381" s="12"/>
      <c r="D1381" s="12"/>
      <c r="E1381" s="12">
        <v>8</v>
      </c>
      <c r="F1381" s="35"/>
      <c r="G1381" s="43"/>
      <c r="H1381" s="12" t="s">
        <v>8</v>
      </c>
      <c r="I1381" s="82">
        <f>I1382</f>
        <v>40000</v>
      </c>
      <c r="J1381" s="82">
        <f>J1382</f>
        <v>8570</v>
      </c>
      <c r="K1381" s="190">
        <f t="shared" si="112"/>
        <v>21.425</v>
      </c>
      <c r="L1381" s="182"/>
      <c r="M1381" s="82"/>
      <c r="N1381" s="82"/>
      <c r="O1381" s="189"/>
      <c r="P1381" s="182"/>
      <c r="Q1381" s="82">
        <f t="shared" si="113"/>
        <v>40000</v>
      </c>
      <c r="R1381" s="82">
        <f t="shared" si="114"/>
        <v>8570</v>
      </c>
      <c r="S1381" s="188">
        <f t="shared" si="115"/>
        <v>21.425</v>
      </c>
    </row>
    <row r="1382" spans="2:19" ht="12.75">
      <c r="B1382" s="28">
        <f t="shared" si="117"/>
        <v>48</v>
      </c>
      <c r="C1382" s="9"/>
      <c r="D1382" s="9"/>
      <c r="E1382" s="9"/>
      <c r="F1382" s="31" t="s">
        <v>185</v>
      </c>
      <c r="G1382" s="40">
        <v>630</v>
      </c>
      <c r="H1382" s="9" t="s">
        <v>125</v>
      </c>
      <c r="I1382" s="72">
        <f>I1383</f>
        <v>40000</v>
      </c>
      <c r="J1382" s="72">
        <f>J1383</f>
        <v>8570</v>
      </c>
      <c r="K1382" s="190">
        <f t="shared" si="112"/>
        <v>21.425</v>
      </c>
      <c r="L1382" s="177"/>
      <c r="M1382" s="72"/>
      <c r="N1382" s="72"/>
      <c r="O1382" s="189"/>
      <c r="P1382" s="177"/>
      <c r="Q1382" s="72">
        <f t="shared" si="113"/>
        <v>40000</v>
      </c>
      <c r="R1382" s="72">
        <f t="shared" si="114"/>
        <v>8570</v>
      </c>
      <c r="S1382" s="188">
        <f t="shared" si="115"/>
        <v>21.425</v>
      </c>
    </row>
    <row r="1383" spans="2:19" ht="12.75">
      <c r="B1383" s="28">
        <f t="shared" si="117"/>
        <v>49</v>
      </c>
      <c r="C1383" s="4"/>
      <c r="D1383" s="4"/>
      <c r="E1383" s="4"/>
      <c r="F1383" s="32" t="s">
        <v>185</v>
      </c>
      <c r="G1383" s="41">
        <v>636</v>
      </c>
      <c r="H1383" s="4" t="s">
        <v>130</v>
      </c>
      <c r="I1383" s="71">
        <v>40000</v>
      </c>
      <c r="J1383" s="71">
        <v>8570</v>
      </c>
      <c r="K1383" s="190">
        <f t="shared" si="112"/>
        <v>21.425</v>
      </c>
      <c r="L1383" s="178"/>
      <c r="M1383" s="71"/>
      <c r="N1383" s="71"/>
      <c r="O1383" s="189"/>
      <c r="P1383" s="178"/>
      <c r="Q1383" s="71">
        <f t="shared" si="113"/>
        <v>40000</v>
      </c>
      <c r="R1383" s="71">
        <f t="shared" si="114"/>
        <v>8570</v>
      </c>
      <c r="S1383" s="188">
        <f t="shared" si="115"/>
        <v>21.425</v>
      </c>
    </row>
    <row r="1384" spans="2:19" ht="15">
      <c r="B1384" s="28">
        <f t="shared" si="117"/>
        <v>50</v>
      </c>
      <c r="C1384" s="2"/>
      <c r="D1384" s="2">
        <v>4</v>
      </c>
      <c r="E1384" s="284" t="s">
        <v>209</v>
      </c>
      <c r="F1384" s="278"/>
      <c r="G1384" s="278"/>
      <c r="H1384" s="279"/>
      <c r="I1384" s="80">
        <f>I1385</f>
        <v>793703</v>
      </c>
      <c r="J1384" s="80">
        <f>J1385</f>
        <v>237611</v>
      </c>
      <c r="K1384" s="190">
        <f t="shared" si="112"/>
        <v>29.93701674303864</v>
      </c>
      <c r="L1384" s="176"/>
      <c r="M1384" s="80"/>
      <c r="N1384" s="80"/>
      <c r="O1384" s="189"/>
      <c r="P1384" s="176"/>
      <c r="Q1384" s="80">
        <f t="shared" si="113"/>
        <v>793703</v>
      </c>
      <c r="R1384" s="80">
        <f t="shared" si="114"/>
        <v>237611</v>
      </c>
      <c r="S1384" s="188">
        <f t="shared" si="115"/>
        <v>29.93701674303864</v>
      </c>
    </row>
    <row r="1385" spans="2:19" ht="15">
      <c r="B1385" s="28">
        <f t="shared" si="117"/>
        <v>51</v>
      </c>
      <c r="C1385" s="12"/>
      <c r="D1385" s="12"/>
      <c r="E1385" s="12">
        <v>2</v>
      </c>
      <c r="F1385" s="35"/>
      <c r="G1385" s="43"/>
      <c r="H1385" s="12" t="s">
        <v>15</v>
      </c>
      <c r="I1385" s="82">
        <f>I1386+I1387+I1388+I1394</f>
        <v>793703</v>
      </c>
      <c r="J1385" s="82">
        <f>J1386+J1387+J1388+J1394</f>
        <v>237611</v>
      </c>
      <c r="K1385" s="190">
        <f t="shared" si="112"/>
        <v>29.93701674303864</v>
      </c>
      <c r="L1385" s="182"/>
      <c r="M1385" s="82"/>
      <c r="N1385" s="82"/>
      <c r="O1385" s="189"/>
      <c r="P1385" s="182"/>
      <c r="Q1385" s="82">
        <f t="shared" si="113"/>
        <v>793703</v>
      </c>
      <c r="R1385" s="82">
        <f t="shared" si="114"/>
        <v>237611</v>
      </c>
      <c r="S1385" s="188">
        <f t="shared" si="115"/>
        <v>29.93701674303864</v>
      </c>
    </row>
    <row r="1386" spans="2:19" ht="12.75">
      <c r="B1386" s="28">
        <f t="shared" si="117"/>
        <v>52</v>
      </c>
      <c r="C1386" s="9"/>
      <c r="D1386" s="9"/>
      <c r="E1386" s="9"/>
      <c r="F1386" s="31" t="s">
        <v>185</v>
      </c>
      <c r="G1386" s="40">
        <v>610</v>
      </c>
      <c r="H1386" s="9" t="s">
        <v>134</v>
      </c>
      <c r="I1386" s="72">
        <v>176720</v>
      </c>
      <c r="J1386" s="72">
        <v>68225</v>
      </c>
      <c r="K1386" s="190">
        <f t="shared" si="112"/>
        <v>38.60626980534179</v>
      </c>
      <c r="L1386" s="177"/>
      <c r="M1386" s="72"/>
      <c r="N1386" s="72"/>
      <c r="O1386" s="189"/>
      <c r="P1386" s="177"/>
      <c r="Q1386" s="72">
        <f t="shared" si="113"/>
        <v>176720</v>
      </c>
      <c r="R1386" s="72">
        <f t="shared" si="114"/>
        <v>68225</v>
      </c>
      <c r="S1386" s="188">
        <f t="shared" si="115"/>
        <v>38.60626980534179</v>
      </c>
    </row>
    <row r="1387" spans="2:19" ht="12.75">
      <c r="B1387" s="28">
        <f t="shared" si="117"/>
        <v>53</v>
      </c>
      <c r="C1387" s="9"/>
      <c r="D1387" s="9"/>
      <c r="E1387" s="9"/>
      <c r="F1387" s="31" t="s">
        <v>185</v>
      </c>
      <c r="G1387" s="40">
        <v>620</v>
      </c>
      <c r="H1387" s="9" t="s">
        <v>128</v>
      </c>
      <c r="I1387" s="72">
        <v>84730</v>
      </c>
      <c r="J1387" s="72">
        <v>21808</v>
      </c>
      <c r="K1387" s="190">
        <f t="shared" si="112"/>
        <v>25.73822731027971</v>
      </c>
      <c r="L1387" s="177"/>
      <c r="M1387" s="72"/>
      <c r="N1387" s="72"/>
      <c r="O1387" s="189"/>
      <c r="P1387" s="177"/>
      <c r="Q1387" s="72">
        <f t="shared" si="113"/>
        <v>84730</v>
      </c>
      <c r="R1387" s="72">
        <f t="shared" si="114"/>
        <v>21808</v>
      </c>
      <c r="S1387" s="188">
        <f t="shared" si="115"/>
        <v>25.73822731027971</v>
      </c>
    </row>
    <row r="1388" spans="2:19" ht="12.75">
      <c r="B1388" s="28">
        <f t="shared" si="117"/>
        <v>54</v>
      </c>
      <c r="C1388" s="9"/>
      <c r="D1388" s="9"/>
      <c r="E1388" s="9"/>
      <c r="F1388" s="31" t="s">
        <v>185</v>
      </c>
      <c r="G1388" s="40">
        <v>630</v>
      </c>
      <c r="H1388" s="9" t="s">
        <v>125</v>
      </c>
      <c r="I1388" s="72">
        <f>SUM(I1389:I1393)</f>
        <v>531553</v>
      </c>
      <c r="J1388" s="72">
        <f>SUM(J1389:J1393)</f>
        <v>147302</v>
      </c>
      <c r="K1388" s="190">
        <f t="shared" si="112"/>
        <v>27.711629884508227</v>
      </c>
      <c r="L1388" s="177"/>
      <c r="M1388" s="72"/>
      <c r="N1388" s="72"/>
      <c r="O1388" s="189"/>
      <c r="P1388" s="177"/>
      <c r="Q1388" s="72">
        <f t="shared" si="113"/>
        <v>531553</v>
      </c>
      <c r="R1388" s="72">
        <f t="shared" si="114"/>
        <v>147302</v>
      </c>
      <c r="S1388" s="188">
        <f t="shared" si="115"/>
        <v>27.711629884508227</v>
      </c>
    </row>
    <row r="1389" spans="2:19" ht="12.75">
      <c r="B1389" s="28">
        <f t="shared" si="117"/>
        <v>55</v>
      </c>
      <c r="C1389" s="4"/>
      <c r="D1389" s="4"/>
      <c r="E1389" s="4"/>
      <c r="F1389" s="32" t="s">
        <v>185</v>
      </c>
      <c r="G1389" s="41">
        <v>632</v>
      </c>
      <c r="H1389" s="4" t="s">
        <v>138</v>
      </c>
      <c r="I1389" s="71">
        <v>285500</v>
      </c>
      <c r="J1389" s="71">
        <f>80159+29170</f>
        <v>109329</v>
      </c>
      <c r="K1389" s="190">
        <f t="shared" si="112"/>
        <v>38.2938704028021</v>
      </c>
      <c r="L1389" s="178"/>
      <c r="M1389" s="71"/>
      <c r="N1389" s="71"/>
      <c r="O1389" s="189"/>
      <c r="P1389" s="178"/>
      <c r="Q1389" s="71">
        <f t="shared" si="113"/>
        <v>285500</v>
      </c>
      <c r="R1389" s="71">
        <f t="shared" si="114"/>
        <v>109329</v>
      </c>
      <c r="S1389" s="188">
        <f t="shared" si="115"/>
        <v>38.2938704028021</v>
      </c>
    </row>
    <row r="1390" spans="2:19" ht="12.75">
      <c r="B1390" s="28">
        <f t="shared" si="117"/>
        <v>56</v>
      </c>
      <c r="C1390" s="4"/>
      <c r="D1390" s="4"/>
      <c r="E1390" s="4"/>
      <c r="F1390" s="32" t="s">
        <v>185</v>
      </c>
      <c r="G1390" s="41">
        <v>633</v>
      </c>
      <c r="H1390" s="4" t="s">
        <v>129</v>
      </c>
      <c r="I1390" s="71">
        <v>64000</v>
      </c>
      <c r="J1390" s="71">
        <f>12715+5029</f>
        <v>17744</v>
      </c>
      <c r="K1390" s="190">
        <f t="shared" si="112"/>
        <v>27.725</v>
      </c>
      <c r="L1390" s="178"/>
      <c r="M1390" s="71"/>
      <c r="N1390" s="71"/>
      <c r="O1390" s="189"/>
      <c r="P1390" s="178"/>
      <c r="Q1390" s="71">
        <f t="shared" si="113"/>
        <v>64000</v>
      </c>
      <c r="R1390" s="71">
        <f t="shared" si="114"/>
        <v>17744</v>
      </c>
      <c r="S1390" s="188">
        <f t="shared" si="115"/>
        <v>27.725</v>
      </c>
    </row>
    <row r="1391" spans="2:19" ht="12.75">
      <c r="B1391" s="28">
        <f t="shared" si="117"/>
        <v>57</v>
      </c>
      <c r="C1391" s="4"/>
      <c r="D1391" s="4"/>
      <c r="E1391" s="4"/>
      <c r="F1391" s="32" t="s">
        <v>185</v>
      </c>
      <c r="G1391" s="41">
        <v>635</v>
      </c>
      <c r="H1391" s="4" t="s">
        <v>136</v>
      </c>
      <c r="I1391" s="71">
        <v>83950</v>
      </c>
      <c r="J1391" s="71">
        <f>9179+921</f>
        <v>10100</v>
      </c>
      <c r="K1391" s="190">
        <f t="shared" si="112"/>
        <v>12.030970815961881</v>
      </c>
      <c r="L1391" s="178"/>
      <c r="M1391" s="71"/>
      <c r="N1391" s="71"/>
      <c r="O1391" s="189"/>
      <c r="P1391" s="178"/>
      <c r="Q1391" s="71">
        <f t="shared" si="113"/>
        <v>83950</v>
      </c>
      <c r="R1391" s="71">
        <f t="shared" si="114"/>
        <v>10100</v>
      </c>
      <c r="S1391" s="188">
        <f t="shared" si="115"/>
        <v>12.030970815961881</v>
      </c>
    </row>
    <row r="1392" spans="2:19" ht="12.75">
      <c r="B1392" s="28">
        <f t="shared" si="117"/>
        <v>58</v>
      </c>
      <c r="C1392" s="4"/>
      <c r="D1392" s="4"/>
      <c r="E1392" s="4"/>
      <c r="F1392" s="32" t="s">
        <v>185</v>
      </c>
      <c r="G1392" s="41">
        <v>637</v>
      </c>
      <c r="H1392" s="4" t="s">
        <v>126</v>
      </c>
      <c r="I1392" s="71">
        <f>95153-350</f>
        <v>94803</v>
      </c>
      <c r="J1392" s="71">
        <f>6922+3207</f>
        <v>10129</v>
      </c>
      <c r="K1392" s="190">
        <f t="shared" si="112"/>
        <v>10.684261046591352</v>
      </c>
      <c r="L1392" s="178"/>
      <c r="M1392" s="71"/>
      <c r="N1392" s="71"/>
      <c r="O1392" s="189"/>
      <c r="P1392" s="178"/>
      <c r="Q1392" s="71">
        <f t="shared" si="113"/>
        <v>94803</v>
      </c>
      <c r="R1392" s="71">
        <f t="shared" si="114"/>
        <v>10129</v>
      </c>
      <c r="S1392" s="188">
        <f t="shared" si="115"/>
        <v>10.684261046591352</v>
      </c>
    </row>
    <row r="1393" spans="2:19" ht="12.75">
      <c r="B1393" s="28">
        <f t="shared" si="117"/>
        <v>59</v>
      </c>
      <c r="C1393" s="4"/>
      <c r="D1393" s="4"/>
      <c r="E1393" s="4"/>
      <c r="F1393" s="32" t="s">
        <v>185</v>
      </c>
      <c r="G1393" s="41">
        <v>637</v>
      </c>
      <c r="H1393" s="4" t="s">
        <v>295</v>
      </c>
      <c r="I1393" s="71">
        <v>3300</v>
      </c>
      <c r="J1393" s="71">
        <v>0</v>
      </c>
      <c r="K1393" s="190">
        <f t="shared" si="112"/>
        <v>0</v>
      </c>
      <c r="L1393" s="178"/>
      <c r="M1393" s="71"/>
      <c r="N1393" s="71"/>
      <c r="O1393" s="189"/>
      <c r="P1393" s="178"/>
      <c r="Q1393" s="71">
        <f t="shared" si="113"/>
        <v>3300</v>
      </c>
      <c r="R1393" s="71">
        <f t="shared" si="114"/>
        <v>0</v>
      </c>
      <c r="S1393" s="188">
        <f t="shared" si="115"/>
        <v>0</v>
      </c>
    </row>
    <row r="1394" spans="2:19" ht="12.75">
      <c r="B1394" s="28">
        <f t="shared" si="117"/>
        <v>60</v>
      </c>
      <c r="C1394" s="9"/>
      <c r="D1394" s="9"/>
      <c r="E1394" s="9"/>
      <c r="F1394" s="31" t="s">
        <v>185</v>
      </c>
      <c r="G1394" s="40">
        <v>640</v>
      </c>
      <c r="H1394" s="9" t="s">
        <v>132</v>
      </c>
      <c r="I1394" s="72">
        <f>350+350</f>
        <v>700</v>
      </c>
      <c r="J1394" s="72">
        <v>276</v>
      </c>
      <c r="K1394" s="190">
        <f t="shared" si="112"/>
        <v>39.42857142857143</v>
      </c>
      <c r="L1394" s="177"/>
      <c r="M1394" s="72"/>
      <c r="N1394" s="72"/>
      <c r="O1394" s="189"/>
      <c r="P1394" s="177"/>
      <c r="Q1394" s="72">
        <f t="shared" si="113"/>
        <v>700</v>
      </c>
      <c r="R1394" s="72">
        <f t="shared" si="114"/>
        <v>276</v>
      </c>
      <c r="S1394" s="188">
        <f t="shared" si="115"/>
        <v>39.42857142857143</v>
      </c>
    </row>
    <row r="1395" spans="2:19" ht="15">
      <c r="B1395" s="28">
        <f t="shared" si="117"/>
        <v>61</v>
      </c>
      <c r="C1395" s="2"/>
      <c r="D1395" s="2">
        <v>5</v>
      </c>
      <c r="E1395" s="284" t="s">
        <v>261</v>
      </c>
      <c r="F1395" s="278"/>
      <c r="G1395" s="278"/>
      <c r="H1395" s="279"/>
      <c r="I1395" s="80">
        <f>I1396</f>
        <v>35870</v>
      </c>
      <c r="J1395" s="80">
        <f>J1396</f>
        <v>21209</v>
      </c>
      <c r="K1395" s="190">
        <f t="shared" si="112"/>
        <v>59.12740451630889</v>
      </c>
      <c r="L1395" s="176"/>
      <c r="M1395" s="80"/>
      <c r="N1395" s="80"/>
      <c r="O1395" s="189"/>
      <c r="P1395" s="176"/>
      <c r="Q1395" s="80">
        <f t="shared" si="113"/>
        <v>35870</v>
      </c>
      <c r="R1395" s="80">
        <f t="shared" si="114"/>
        <v>21209</v>
      </c>
      <c r="S1395" s="188">
        <f t="shared" si="115"/>
        <v>59.12740451630889</v>
      </c>
    </row>
    <row r="1396" spans="2:19" ht="15">
      <c r="B1396" s="28">
        <f t="shared" si="117"/>
        <v>62</v>
      </c>
      <c r="C1396" s="12"/>
      <c r="D1396" s="12"/>
      <c r="E1396" s="12">
        <v>2</v>
      </c>
      <c r="F1396" s="35"/>
      <c r="G1396" s="43"/>
      <c r="H1396" s="12" t="s">
        <v>15</v>
      </c>
      <c r="I1396" s="82">
        <f>I1397+I1398+I1399</f>
        <v>35870</v>
      </c>
      <c r="J1396" s="82">
        <f>J1397+J1398+J1399</f>
        <v>21209</v>
      </c>
      <c r="K1396" s="190">
        <f t="shared" si="112"/>
        <v>59.12740451630889</v>
      </c>
      <c r="L1396" s="182"/>
      <c r="M1396" s="82"/>
      <c r="N1396" s="82"/>
      <c r="O1396" s="189"/>
      <c r="P1396" s="182"/>
      <c r="Q1396" s="82">
        <f t="shared" si="113"/>
        <v>35870</v>
      </c>
      <c r="R1396" s="82">
        <f t="shared" si="114"/>
        <v>21209</v>
      </c>
      <c r="S1396" s="188">
        <f t="shared" si="115"/>
        <v>59.12740451630889</v>
      </c>
    </row>
    <row r="1397" spans="2:19" ht="12.75">
      <c r="B1397" s="28">
        <f t="shared" si="117"/>
        <v>63</v>
      </c>
      <c r="C1397" s="9"/>
      <c r="D1397" s="9"/>
      <c r="E1397" s="9"/>
      <c r="F1397" s="31" t="s">
        <v>185</v>
      </c>
      <c r="G1397" s="40">
        <v>610</v>
      </c>
      <c r="H1397" s="9" t="s">
        <v>134</v>
      </c>
      <c r="I1397" s="72">
        <v>10050</v>
      </c>
      <c r="J1397" s="72">
        <v>7397</v>
      </c>
      <c r="K1397" s="190">
        <f t="shared" si="112"/>
        <v>73.60199004975124</v>
      </c>
      <c r="L1397" s="177"/>
      <c r="M1397" s="72"/>
      <c r="N1397" s="72"/>
      <c r="O1397" s="189"/>
      <c r="P1397" s="177"/>
      <c r="Q1397" s="72">
        <f t="shared" si="113"/>
        <v>10050</v>
      </c>
      <c r="R1397" s="72">
        <f t="shared" si="114"/>
        <v>7397</v>
      </c>
      <c r="S1397" s="188">
        <f t="shared" si="115"/>
        <v>73.60199004975124</v>
      </c>
    </row>
    <row r="1398" spans="2:19" ht="12.75">
      <c r="B1398" s="28">
        <f t="shared" si="117"/>
        <v>64</v>
      </c>
      <c r="C1398" s="9"/>
      <c r="D1398" s="9"/>
      <c r="E1398" s="9"/>
      <c r="F1398" s="31" t="s">
        <v>185</v>
      </c>
      <c r="G1398" s="40">
        <v>620</v>
      </c>
      <c r="H1398" s="9" t="s">
        <v>128</v>
      </c>
      <c r="I1398" s="72">
        <v>3520</v>
      </c>
      <c r="J1398" s="72">
        <v>2357</v>
      </c>
      <c r="K1398" s="190">
        <f aca="true" t="shared" si="118" ref="K1398:K1437">J1398/I1398*100</f>
        <v>66.96022727272727</v>
      </c>
      <c r="L1398" s="177"/>
      <c r="M1398" s="72"/>
      <c r="N1398" s="72"/>
      <c r="O1398" s="189"/>
      <c r="P1398" s="177"/>
      <c r="Q1398" s="72">
        <f aca="true" t="shared" si="119" ref="Q1398:Q1439">I1398+M1398</f>
        <v>3520</v>
      </c>
      <c r="R1398" s="72">
        <f aca="true" t="shared" si="120" ref="R1398:R1441">J1398+N1398</f>
        <v>2357</v>
      </c>
      <c r="S1398" s="188">
        <f aca="true" t="shared" si="121" ref="S1398:S1441">R1398/Q1398*100</f>
        <v>66.96022727272727</v>
      </c>
    </row>
    <row r="1399" spans="2:19" ht="12.75">
      <c r="B1399" s="28">
        <f t="shared" si="117"/>
        <v>65</v>
      </c>
      <c r="C1399" s="9"/>
      <c r="D1399" s="9"/>
      <c r="E1399" s="9"/>
      <c r="F1399" s="31" t="s">
        <v>185</v>
      </c>
      <c r="G1399" s="40">
        <v>630</v>
      </c>
      <c r="H1399" s="9" t="s">
        <v>125</v>
      </c>
      <c r="I1399" s="72">
        <f>SUM(I1400:I1404)</f>
        <v>22300</v>
      </c>
      <c r="J1399" s="72">
        <f>SUM(J1400:J1404)</f>
        <v>11455</v>
      </c>
      <c r="K1399" s="190">
        <f t="shared" si="118"/>
        <v>51.36771300448431</v>
      </c>
      <c r="L1399" s="177"/>
      <c r="M1399" s="72"/>
      <c r="N1399" s="72"/>
      <c r="O1399" s="189"/>
      <c r="P1399" s="177"/>
      <c r="Q1399" s="72">
        <f t="shared" si="119"/>
        <v>22300</v>
      </c>
      <c r="R1399" s="72">
        <f t="shared" si="120"/>
        <v>11455</v>
      </c>
      <c r="S1399" s="188">
        <f t="shared" si="121"/>
        <v>51.36771300448431</v>
      </c>
    </row>
    <row r="1400" spans="2:19" ht="12.75">
      <c r="B1400" s="28">
        <f aca="true" t="shared" si="122" ref="B1400:B1441">B1399+1</f>
        <v>66</v>
      </c>
      <c r="C1400" s="4"/>
      <c r="D1400" s="4"/>
      <c r="E1400" s="4"/>
      <c r="F1400" s="32" t="s">
        <v>185</v>
      </c>
      <c r="G1400" s="41">
        <v>632</v>
      </c>
      <c r="H1400" s="4" t="s">
        <v>138</v>
      </c>
      <c r="I1400" s="71">
        <f>12300+2000</f>
        <v>14300</v>
      </c>
      <c r="J1400" s="71">
        <v>10791</v>
      </c>
      <c r="K1400" s="190">
        <f t="shared" si="118"/>
        <v>75.46153846153845</v>
      </c>
      <c r="L1400" s="178"/>
      <c r="M1400" s="71"/>
      <c r="N1400" s="71"/>
      <c r="O1400" s="189"/>
      <c r="P1400" s="178"/>
      <c r="Q1400" s="71">
        <f t="shared" si="119"/>
        <v>14300</v>
      </c>
      <c r="R1400" s="71">
        <f t="shared" si="120"/>
        <v>10791</v>
      </c>
      <c r="S1400" s="188">
        <f t="shared" si="121"/>
        <v>75.46153846153845</v>
      </c>
    </row>
    <row r="1401" spans="2:19" ht="12.75">
      <c r="B1401" s="28">
        <f t="shared" si="122"/>
        <v>67</v>
      </c>
      <c r="C1401" s="4"/>
      <c r="D1401" s="4"/>
      <c r="E1401" s="4"/>
      <c r="F1401" s="32" t="s">
        <v>185</v>
      </c>
      <c r="G1401" s="41">
        <v>633</v>
      </c>
      <c r="H1401" s="4" t="s">
        <v>129</v>
      </c>
      <c r="I1401" s="71">
        <f>4100-1000</f>
        <v>3100</v>
      </c>
      <c r="J1401" s="71">
        <v>61</v>
      </c>
      <c r="K1401" s="190">
        <f t="shared" si="118"/>
        <v>1.9677419354838708</v>
      </c>
      <c r="L1401" s="178"/>
      <c r="M1401" s="71"/>
      <c r="N1401" s="71"/>
      <c r="O1401" s="189"/>
      <c r="P1401" s="178"/>
      <c r="Q1401" s="71">
        <f t="shared" si="119"/>
        <v>3100</v>
      </c>
      <c r="R1401" s="71">
        <f t="shared" si="120"/>
        <v>61</v>
      </c>
      <c r="S1401" s="188">
        <f t="shared" si="121"/>
        <v>1.9677419354838708</v>
      </c>
    </row>
    <row r="1402" spans="2:19" ht="12.75">
      <c r="B1402" s="28">
        <f t="shared" si="122"/>
        <v>68</v>
      </c>
      <c r="C1402" s="4"/>
      <c r="D1402" s="4"/>
      <c r="E1402" s="4"/>
      <c r="F1402" s="32" t="s">
        <v>185</v>
      </c>
      <c r="G1402" s="41">
        <v>634</v>
      </c>
      <c r="H1402" s="4" t="s">
        <v>135</v>
      </c>
      <c r="I1402" s="71">
        <v>250</v>
      </c>
      <c r="J1402" s="71">
        <v>0</v>
      </c>
      <c r="K1402" s="190">
        <f t="shared" si="118"/>
        <v>0</v>
      </c>
      <c r="L1402" s="178"/>
      <c r="M1402" s="71"/>
      <c r="N1402" s="71"/>
      <c r="O1402" s="189"/>
      <c r="P1402" s="178"/>
      <c r="Q1402" s="71">
        <f t="shared" si="119"/>
        <v>250</v>
      </c>
      <c r="R1402" s="71">
        <f t="shared" si="120"/>
        <v>0</v>
      </c>
      <c r="S1402" s="188">
        <f t="shared" si="121"/>
        <v>0</v>
      </c>
    </row>
    <row r="1403" spans="2:19" ht="12.75">
      <c r="B1403" s="28">
        <f t="shared" si="122"/>
        <v>69</v>
      </c>
      <c r="C1403" s="4"/>
      <c r="D1403" s="4"/>
      <c r="E1403" s="4"/>
      <c r="F1403" s="32" t="s">
        <v>185</v>
      </c>
      <c r="G1403" s="41">
        <v>635</v>
      </c>
      <c r="H1403" s="4" t="s">
        <v>136</v>
      </c>
      <c r="I1403" s="71">
        <f>4000-1000-500</f>
        <v>2500</v>
      </c>
      <c r="J1403" s="71">
        <v>0</v>
      </c>
      <c r="K1403" s="190">
        <f t="shared" si="118"/>
        <v>0</v>
      </c>
      <c r="L1403" s="178"/>
      <c r="M1403" s="71"/>
      <c r="N1403" s="71"/>
      <c r="O1403" s="189"/>
      <c r="P1403" s="178"/>
      <c r="Q1403" s="71">
        <f t="shared" si="119"/>
        <v>2500</v>
      </c>
      <c r="R1403" s="71">
        <f t="shared" si="120"/>
        <v>0</v>
      </c>
      <c r="S1403" s="188">
        <f t="shared" si="121"/>
        <v>0</v>
      </c>
    </row>
    <row r="1404" spans="2:19" ht="12.75">
      <c r="B1404" s="28">
        <f t="shared" si="122"/>
        <v>70</v>
      </c>
      <c r="C1404" s="4"/>
      <c r="D1404" s="4"/>
      <c r="E1404" s="4"/>
      <c r="F1404" s="32" t="s">
        <v>185</v>
      </c>
      <c r="G1404" s="41">
        <v>637</v>
      </c>
      <c r="H1404" s="4" t="s">
        <v>126</v>
      </c>
      <c r="I1404" s="71">
        <f>1650+500</f>
        <v>2150</v>
      </c>
      <c r="J1404" s="71">
        <v>603</v>
      </c>
      <c r="K1404" s="190">
        <f t="shared" si="118"/>
        <v>28.046511627906977</v>
      </c>
      <c r="L1404" s="178"/>
      <c r="M1404" s="71"/>
      <c r="N1404" s="71"/>
      <c r="O1404" s="189"/>
      <c r="P1404" s="178"/>
      <c r="Q1404" s="71">
        <f t="shared" si="119"/>
        <v>2150</v>
      </c>
      <c r="R1404" s="71">
        <f t="shared" si="120"/>
        <v>603</v>
      </c>
      <c r="S1404" s="188">
        <f t="shared" si="121"/>
        <v>28.046511627906977</v>
      </c>
    </row>
    <row r="1405" spans="2:19" ht="15">
      <c r="B1405" s="28">
        <f t="shared" si="122"/>
        <v>71</v>
      </c>
      <c r="C1405" s="7">
        <v>4</v>
      </c>
      <c r="D1405" s="277" t="s">
        <v>287</v>
      </c>
      <c r="E1405" s="278"/>
      <c r="F1405" s="278"/>
      <c r="G1405" s="278"/>
      <c r="H1405" s="279"/>
      <c r="I1405" s="79">
        <f>I1406+I1426</f>
        <v>114345</v>
      </c>
      <c r="J1405" s="79">
        <f>J1406+J1426</f>
        <v>36417</v>
      </c>
      <c r="K1405" s="190">
        <f t="shared" si="118"/>
        <v>31.848353666535484</v>
      </c>
      <c r="L1405" s="175"/>
      <c r="M1405" s="79">
        <f>M1408+M1426</f>
        <v>2567180</v>
      </c>
      <c r="N1405" s="79">
        <f>N1408+N1426</f>
        <v>5079</v>
      </c>
      <c r="O1405" s="189">
        <f aca="true" t="shared" si="123" ref="O1405:O1441">N1405/M1405*100</f>
        <v>0.19784354817348218</v>
      </c>
      <c r="P1405" s="175"/>
      <c r="Q1405" s="79">
        <f t="shared" si="119"/>
        <v>2681525</v>
      </c>
      <c r="R1405" s="79">
        <f t="shared" si="120"/>
        <v>41496</v>
      </c>
      <c r="S1405" s="188">
        <f t="shared" si="121"/>
        <v>1.5474776479801606</v>
      </c>
    </row>
    <row r="1406" spans="2:19" ht="12.75">
      <c r="B1406" s="28">
        <f t="shared" si="122"/>
        <v>72</v>
      </c>
      <c r="C1406" s="9"/>
      <c r="D1406" s="9"/>
      <c r="E1406" s="9"/>
      <c r="F1406" s="31" t="s">
        <v>185</v>
      </c>
      <c r="G1406" s="40">
        <v>630</v>
      </c>
      <c r="H1406" s="9" t="s">
        <v>125</v>
      </c>
      <c r="I1406" s="72">
        <f>I1407</f>
        <v>930</v>
      </c>
      <c r="J1406" s="72">
        <f>J1407</f>
        <v>448</v>
      </c>
      <c r="K1406" s="190">
        <f t="shared" si="118"/>
        <v>48.17204301075269</v>
      </c>
      <c r="L1406" s="177"/>
      <c r="M1406" s="72"/>
      <c r="N1406" s="72"/>
      <c r="O1406" s="189"/>
      <c r="P1406" s="177"/>
      <c r="Q1406" s="72">
        <f t="shared" si="119"/>
        <v>930</v>
      </c>
      <c r="R1406" s="72">
        <f t="shared" si="120"/>
        <v>448</v>
      </c>
      <c r="S1406" s="188">
        <f t="shared" si="121"/>
        <v>48.17204301075269</v>
      </c>
    </row>
    <row r="1407" spans="2:19" ht="12.75">
      <c r="B1407" s="28">
        <f t="shared" si="122"/>
        <v>73</v>
      </c>
      <c r="C1407" s="4"/>
      <c r="D1407" s="4"/>
      <c r="E1407" s="4"/>
      <c r="F1407" s="32" t="s">
        <v>185</v>
      </c>
      <c r="G1407" s="41">
        <v>632</v>
      </c>
      <c r="H1407" s="4" t="s">
        <v>138</v>
      </c>
      <c r="I1407" s="71">
        <f>600+330</f>
        <v>930</v>
      </c>
      <c r="J1407" s="71">
        <v>448</v>
      </c>
      <c r="K1407" s="190">
        <f t="shared" si="118"/>
        <v>48.17204301075269</v>
      </c>
      <c r="L1407" s="178"/>
      <c r="M1407" s="71"/>
      <c r="N1407" s="71"/>
      <c r="O1407" s="189"/>
      <c r="P1407" s="178"/>
      <c r="Q1407" s="71">
        <f t="shared" si="119"/>
        <v>930</v>
      </c>
      <c r="R1407" s="71">
        <f t="shared" si="120"/>
        <v>448</v>
      </c>
      <c r="S1407" s="188">
        <f t="shared" si="121"/>
        <v>48.17204301075269</v>
      </c>
    </row>
    <row r="1408" spans="2:19" ht="12.75">
      <c r="B1408" s="28">
        <f t="shared" si="122"/>
        <v>74</v>
      </c>
      <c r="C1408" s="9"/>
      <c r="D1408" s="9"/>
      <c r="E1408" s="9"/>
      <c r="F1408" s="31" t="s">
        <v>185</v>
      </c>
      <c r="G1408" s="40">
        <v>710</v>
      </c>
      <c r="H1408" s="9" t="s">
        <v>180</v>
      </c>
      <c r="I1408" s="72"/>
      <c r="J1408" s="72"/>
      <c r="K1408" s="190"/>
      <c r="L1408" s="177"/>
      <c r="M1408" s="72">
        <f>M1414+M1409</f>
        <v>2524180</v>
      </c>
      <c r="N1408" s="72">
        <f>N1414+N1409</f>
        <v>5079</v>
      </c>
      <c r="O1408" s="189">
        <f t="shared" si="123"/>
        <v>0.20121385955042828</v>
      </c>
      <c r="P1408" s="177"/>
      <c r="Q1408" s="72">
        <f t="shared" si="119"/>
        <v>2524180</v>
      </c>
      <c r="R1408" s="72">
        <f t="shared" si="120"/>
        <v>5079</v>
      </c>
      <c r="S1408" s="188">
        <f t="shared" si="121"/>
        <v>0.20121385955042828</v>
      </c>
    </row>
    <row r="1409" spans="2:19" ht="12.75">
      <c r="B1409" s="28">
        <f t="shared" si="122"/>
        <v>75</v>
      </c>
      <c r="C1409" s="4"/>
      <c r="D1409" s="4"/>
      <c r="E1409" s="4"/>
      <c r="F1409" s="32" t="s">
        <v>185</v>
      </c>
      <c r="G1409" s="41">
        <v>716</v>
      </c>
      <c r="H1409" s="4" t="s">
        <v>225</v>
      </c>
      <c r="I1409" s="71"/>
      <c r="J1409" s="71"/>
      <c r="K1409" s="190"/>
      <c r="L1409" s="178"/>
      <c r="M1409" s="71">
        <f>SUM(M1410:M1413)</f>
        <v>36720</v>
      </c>
      <c r="N1409" s="71">
        <f>SUM(N1410:N1413)</f>
        <v>4504</v>
      </c>
      <c r="O1409" s="189">
        <f t="shared" si="123"/>
        <v>12.265795206971678</v>
      </c>
      <c r="P1409" s="178"/>
      <c r="Q1409" s="71">
        <f t="shared" si="119"/>
        <v>36720</v>
      </c>
      <c r="R1409" s="71">
        <f t="shared" si="120"/>
        <v>4504</v>
      </c>
      <c r="S1409" s="188">
        <f t="shared" si="121"/>
        <v>12.265795206971678</v>
      </c>
    </row>
    <row r="1410" spans="2:19" ht="12.75">
      <c r="B1410" s="28">
        <f t="shared" si="122"/>
        <v>76</v>
      </c>
      <c r="C1410" s="5"/>
      <c r="D1410" s="5"/>
      <c r="E1410" s="5"/>
      <c r="F1410" s="33"/>
      <c r="G1410" s="42"/>
      <c r="H1410" s="5" t="s">
        <v>290</v>
      </c>
      <c r="I1410" s="75"/>
      <c r="J1410" s="75"/>
      <c r="K1410" s="190"/>
      <c r="L1410" s="99"/>
      <c r="M1410" s="75">
        <v>22500</v>
      </c>
      <c r="N1410" s="75">
        <v>39</v>
      </c>
      <c r="O1410" s="189">
        <f t="shared" si="123"/>
        <v>0.17333333333333334</v>
      </c>
      <c r="P1410" s="99"/>
      <c r="Q1410" s="75">
        <f t="shared" si="119"/>
        <v>22500</v>
      </c>
      <c r="R1410" s="75">
        <f t="shared" si="120"/>
        <v>39</v>
      </c>
      <c r="S1410" s="188">
        <f t="shared" si="121"/>
        <v>0.17333333333333334</v>
      </c>
    </row>
    <row r="1411" spans="2:19" ht="12.75">
      <c r="B1411" s="28">
        <f t="shared" si="122"/>
        <v>77</v>
      </c>
      <c r="C1411" s="5"/>
      <c r="D1411" s="5"/>
      <c r="E1411" s="5"/>
      <c r="F1411" s="33"/>
      <c r="G1411" s="42"/>
      <c r="H1411" s="5" t="s">
        <v>300</v>
      </c>
      <c r="I1411" s="75"/>
      <c r="J1411" s="75"/>
      <c r="K1411" s="190"/>
      <c r="L1411" s="99"/>
      <c r="M1411" s="75">
        <v>6720</v>
      </c>
      <c r="N1411" s="75">
        <v>3865</v>
      </c>
      <c r="O1411" s="189">
        <f t="shared" si="123"/>
        <v>57.514880952380956</v>
      </c>
      <c r="P1411" s="99"/>
      <c r="Q1411" s="75">
        <f t="shared" si="119"/>
        <v>6720</v>
      </c>
      <c r="R1411" s="75">
        <f t="shared" si="120"/>
        <v>3865</v>
      </c>
      <c r="S1411" s="188">
        <f t="shared" si="121"/>
        <v>57.514880952380956</v>
      </c>
    </row>
    <row r="1412" spans="2:19" ht="12.75">
      <c r="B1412" s="28">
        <f t="shared" si="122"/>
        <v>78</v>
      </c>
      <c r="C1412" s="5"/>
      <c r="D1412" s="5"/>
      <c r="E1412" s="5"/>
      <c r="F1412" s="33"/>
      <c r="G1412" s="42"/>
      <c r="H1412" s="98" t="s">
        <v>527</v>
      </c>
      <c r="I1412" s="75"/>
      <c r="J1412" s="75"/>
      <c r="K1412" s="190"/>
      <c r="L1412" s="99"/>
      <c r="M1412" s="75">
        <v>600</v>
      </c>
      <c r="N1412" s="75">
        <v>600</v>
      </c>
      <c r="O1412" s="189">
        <f t="shared" si="123"/>
        <v>100</v>
      </c>
      <c r="P1412" s="99"/>
      <c r="Q1412" s="75">
        <f t="shared" si="119"/>
        <v>600</v>
      </c>
      <c r="R1412" s="75">
        <f t="shared" si="120"/>
        <v>600</v>
      </c>
      <c r="S1412" s="188">
        <f t="shared" si="121"/>
        <v>100</v>
      </c>
    </row>
    <row r="1413" spans="2:19" ht="12.75">
      <c r="B1413" s="28">
        <f t="shared" si="122"/>
        <v>79</v>
      </c>
      <c r="C1413" s="5"/>
      <c r="D1413" s="5"/>
      <c r="E1413" s="5"/>
      <c r="F1413" s="33"/>
      <c r="G1413" s="42"/>
      <c r="H1413" s="98" t="s">
        <v>559</v>
      </c>
      <c r="I1413" s="75"/>
      <c r="J1413" s="75"/>
      <c r="K1413" s="190"/>
      <c r="L1413" s="99"/>
      <c r="M1413" s="75">
        <v>6900</v>
      </c>
      <c r="N1413" s="75">
        <v>0</v>
      </c>
      <c r="O1413" s="189">
        <f t="shared" si="123"/>
        <v>0</v>
      </c>
      <c r="P1413" s="99"/>
      <c r="Q1413" s="75">
        <f t="shared" si="119"/>
        <v>6900</v>
      </c>
      <c r="R1413" s="75">
        <f t="shared" si="120"/>
        <v>0</v>
      </c>
      <c r="S1413" s="188">
        <f t="shared" si="121"/>
        <v>0</v>
      </c>
    </row>
    <row r="1414" spans="2:19" ht="12.75">
      <c r="B1414" s="28">
        <f t="shared" si="122"/>
        <v>80</v>
      </c>
      <c r="C1414" s="4"/>
      <c r="D1414" s="4"/>
      <c r="E1414" s="4"/>
      <c r="F1414" s="32" t="s">
        <v>185</v>
      </c>
      <c r="G1414" s="41">
        <v>717</v>
      </c>
      <c r="H1414" s="4" t="s">
        <v>190</v>
      </c>
      <c r="I1414" s="71"/>
      <c r="J1414" s="71"/>
      <c r="K1414" s="190"/>
      <c r="L1414" s="178"/>
      <c r="M1414" s="71">
        <f>SUM(M1415:M1425)</f>
        <v>2487460</v>
      </c>
      <c r="N1414" s="71">
        <f>SUM(N1415:N1425)</f>
        <v>575</v>
      </c>
      <c r="O1414" s="189">
        <f t="shared" si="123"/>
        <v>0.0231159496032097</v>
      </c>
      <c r="P1414" s="178"/>
      <c r="Q1414" s="71">
        <f t="shared" si="119"/>
        <v>2487460</v>
      </c>
      <c r="R1414" s="71">
        <f t="shared" si="120"/>
        <v>575</v>
      </c>
      <c r="S1414" s="188">
        <f t="shared" si="121"/>
        <v>0.0231159496032097</v>
      </c>
    </row>
    <row r="1415" spans="2:19" ht="12.75">
      <c r="B1415" s="28">
        <f t="shared" si="122"/>
        <v>81</v>
      </c>
      <c r="C1415" s="5"/>
      <c r="D1415" s="5"/>
      <c r="E1415" s="5"/>
      <c r="F1415" s="33"/>
      <c r="G1415" s="42"/>
      <c r="H1415" s="98" t="s">
        <v>355</v>
      </c>
      <c r="I1415" s="75"/>
      <c r="J1415" s="75"/>
      <c r="K1415" s="190"/>
      <c r="L1415" s="99"/>
      <c r="M1415" s="75">
        <f>520000-2600-2050</f>
        <v>515350</v>
      </c>
      <c r="N1415" s="75">
        <v>0</v>
      </c>
      <c r="O1415" s="189">
        <f t="shared" si="123"/>
        <v>0</v>
      </c>
      <c r="P1415" s="99"/>
      <c r="Q1415" s="75">
        <f t="shared" si="119"/>
        <v>515350</v>
      </c>
      <c r="R1415" s="75">
        <f t="shared" si="120"/>
        <v>0</v>
      </c>
      <c r="S1415" s="188">
        <f t="shared" si="121"/>
        <v>0</v>
      </c>
    </row>
    <row r="1416" spans="2:19" ht="12.75">
      <c r="B1416" s="28">
        <f t="shared" si="122"/>
        <v>82</v>
      </c>
      <c r="C1416" s="5"/>
      <c r="D1416" s="5"/>
      <c r="E1416" s="5"/>
      <c r="F1416" s="33"/>
      <c r="G1416" s="42"/>
      <c r="H1416" s="98" t="s">
        <v>453</v>
      </c>
      <c r="I1416" s="75"/>
      <c r="J1416" s="75"/>
      <c r="K1416" s="190"/>
      <c r="L1416" s="99"/>
      <c r="M1416" s="75">
        <v>42000</v>
      </c>
      <c r="N1416" s="75">
        <v>0</v>
      </c>
      <c r="O1416" s="189">
        <f t="shared" si="123"/>
        <v>0</v>
      </c>
      <c r="P1416" s="99"/>
      <c r="Q1416" s="75">
        <f t="shared" si="119"/>
        <v>42000</v>
      </c>
      <c r="R1416" s="75">
        <f t="shared" si="120"/>
        <v>0</v>
      </c>
      <c r="S1416" s="188">
        <f t="shared" si="121"/>
        <v>0</v>
      </c>
    </row>
    <row r="1417" spans="2:19" ht="12.75">
      <c r="B1417" s="28">
        <f t="shared" si="122"/>
        <v>83</v>
      </c>
      <c r="C1417" s="5"/>
      <c r="D1417" s="5"/>
      <c r="E1417" s="5"/>
      <c r="F1417" s="33"/>
      <c r="G1417" s="42"/>
      <c r="H1417" s="98" t="s">
        <v>469</v>
      </c>
      <c r="I1417" s="75"/>
      <c r="J1417" s="75"/>
      <c r="K1417" s="190"/>
      <c r="L1417" s="99"/>
      <c r="M1417" s="75">
        <v>18000</v>
      </c>
      <c r="N1417" s="75">
        <v>0</v>
      </c>
      <c r="O1417" s="189">
        <f t="shared" si="123"/>
        <v>0</v>
      </c>
      <c r="P1417" s="99"/>
      <c r="Q1417" s="75">
        <f t="shared" si="119"/>
        <v>18000</v>
      </c>
      <c r="R1417" s="75">
        <f t="shared" si="120"/>
        <v>0</v>
      </c>
      <c r="S1417" s="188">
        <f t="shared" si="121"/>
        <v>0</v>
      </c>
    </row>
    <row r="1418" spans="2:19" ht="12.75">
      <c r="B1418" s="28">
        <f t="shared" si="122"/>
        <v>84</v>
      </c>
      <c r="C1418" s="5"/>
      <c r="D1418" s="5"/>
      <c r="E1418" s="5"/>
      <c r="F1418" s="33"/>
      <c r="G1418" s="42"/>
      <c r="H1418" s="98" t="s">
        <v>470</v>
      </c>
      <c r="I1418" s="75"/>
      <c r="J1418" s="75"/>
      <c r="K1418" s="190"/>
      <c r="L1418" s="99"/>
      <c r="M1418" s="75">
        <v>10000</v>
      </c>
      <c r="N1418" s="75">
        <v>0</v>
      </c>
      <c r="O1418" s="189">
        <f t="shared" si="123"/>
        <v>0</v>
      </c>
      <c r="P1418" s="99"/>
      <c r="Q1418" s="75">
        <f t="shared" si="119"/>
        <v>10000</v>
      </c>
      <c r="R1418" s="75">
        <f t="shared" si="120"/>
        <v>0</v>
      </c>
      <c r="S1418" s="188">
        <f t="shared" si="121"/>
        <v>0</v>
      </c>
    </row>
    <row r="1419" spans="2:19" ht="12.75">
      <c r="B1419" s="28">
        <f t="shared" si="122"/>
        <v>85</v>
      </c>
      <c r="C1419" s="5"/>
      <c r="D1419" s="5"/>
      <c r="E1419" s="5"/>
      <c r="F1419" s="33"/>
      <c r="G1419" s="42"/>
      <c r="H1419" s="98" t="s">
        <v>527</v>
      </c>
      <c r="I1419" s="75"/>
      <c r="J1419" s="75"/>
      <c r="K1419" s="190"/>
      <c r="L1419" s="99"/>
      <c r="M1419" s="75">
        <f>15000-600</f>
        <v>14400</v>
      </c>
      <c r="N1419" s="75">
        <v>39</v>
      </c>
      <c r="O1419" s="189">
        <f t="shared" si="123"/>
        <v>0.27083333333333337</v>
      </c>
      <c r="P1419" s="99"/>
      <c r="Q1419" s="75">
        <f t="shared" si="119"/>
        <v>14400</v>
      </c>
      <c r="R1419" s="75">
        <f t="shared" si="120"/>
        <v>39</v>
      </c>
      <c r="S1419" s="188">
        <f t="shared" si="121"/>
        <v>0.27083333333333337</v>
      </c>
    </row>
    <row r="1420" spans="2:19" ht="12.75">
      <c r="B1420" s="28">
        <f t="shared" si="122"/>
        <v>86</v>
      </c>
      <c r="C1420" s="5"/>
      <c r="D1420" s="5"/>
      <c r="E1420" s="5"/>
      <c r="F1420" s="33"/>
      <c r="G1420" s="42"/>
      <c r="H1420" s="98" t="s">
        <v>449</v>
      </c>
      <c r="I1420" s="75"/>
      <c r="J1420" s="75"/>
      <c r="K1420" s="190"/>
      <c r="L1420" s="99"/>
      <c r="M1420" s="75">
        <v>90000</v>
      </c>
      <c r="N1420" s="75">
        <v>0</v>
      </c>
      <c r="O1420" s="189">
        <f t="shared" si="123"/>
        <v>0</v>
      </c>
      <c r="P1420" s="99"/>
      <c r="Q1420" s="75">
        <f t="shared" si="119"/>
        <v>90000</v>
      </c>
      <c r="R1420" s="75">
        <f t="shared" si="120"/>
        <v>0</v>
      </c>
      <c r="S1420" s="188">
        <f t="shared" si="121"/>
        <v>0</v>
      </c>
    </row>
    <row r="1421" spans="2:19" ht="12.75">
      <c r="B1421" s="28">
        <f t="shared" si="122"/>
        <v>87</v>
      </c>
      <c r="C1421" s="5"/>
      <c r="D1421" s="5"/>
      <c r="E1421" s="5"/>
      <c r="F1421" s="33"/>
      <c r="G1421" s="42"/>
      <c r="H1421" s="98" t="s">
        <v>450</v>
      </c>
      <c r="I1421" s="75"/>
      <c r="J1421" s="75"/>
      <c r="K1421" s="190"/>
      <c r="L1421" s="99"/>
      <c r="M1421" s="75">
        <v>30000</v>
      </c>
      <c r="N1421" s="75">
        <v>0</v>
      </c>
      <c r="O1421" s="189">
        <f t="shared" si="123"/>
        <v>0</v>
      </c>
      <c r="P1421" s="99"/>
      <c r="Q1421" s="75">
        <f t="shared" si="119"/>
        <v>30000</v>
      </c>
      <c r="R1421" s="75">
        <f t="shared" si="120"/>
        <v>0</v>
      </c>
      <c r="S1421" s="188">
        <f t="shared" si="121"/>
        <v>0</v>
      </c>
    </row>
    <row r="1422" spans="2:19" s="13" customFormat="1" ht="33.75">
      <c r="B1422" s="28">
        <f t="shared" si="122"/>
        <v>88</v>
      </c>
      <c r="C1422" s="29"/>
      <c r="D1422" s="29"/>
      <c r="E1422" s="29"/>
      <c r="F1422" s="33"/>
      <c r="G1422" s="33"/>
      <c r="H1422" s="110" t="s">
        <v>430</v>
      </c>
      <c r="I1422" s="83"/>
      <c r="J1422" s="83"/>
      <c r="K1422" s="190"/>
      <c r="L1422" s="107"/>
      <c r="M1422" s="83">
        <v>286196</v>
      </c>
      <c r="N1422" s="83">
        <v>0</v>
      </c>
      <c r="O1422" s="189">
        <f t="shared" si="123"/>
        <v>0</v>
      </c>
      <c r="P1422" s="107"/>
      <c r="Q1422" s="105">
        <f t="shared" si="119"/>
        <v>286196</v>
      </c>
      <c r="R1422" s="105">
        <f t="shared" si="120"/>
        <v>0</v>
      </c>
      <c r="S1422" s="211">
        <f t="shared" si="121"/>
        <v>0</v>
      </c>
    </row>
    <row r="1423" spans="2:19" s="13" customFormat="1" ht="45">
      <c r="B1423" s="28">
        <f t="shared" si="122"/>
        <v>89</v>
      </c>
      <c r="C1423" s="103"/>
      <c r="D1423" s="103"/>
      <c r="E1423" s="103"/>
      <c r="F1423" s="103"/>
      <c r="G1423" s="103"/>
      <c r="H1423" s="112" t="s">
        <v>433</v>
      </c>
      <c r="I1423" s="104"/>
      <c r="J1423" s="104"/>
      <c r="K1423" s="190"/>
      <c r="L1423" s="186"/>
      <c r="M1423" s="105">
        <v>545000</v>
      </c>
      <c r="N1423" s="105">
        <v>0</v>
      </c>
      <c r="O1423" s="189">
        <f t="shared" si="123"/>
        <v>0</v>
      </c>
      <c r="P1423" s="187"/>
      <c r="Q1423" s="105">
        <f t="shared" si="119"/>
        <v>545000</v>
      </c>
      <c r="R1423" s="105">
        <f t="shared" si="120"/>
        <v>0</v>
      </c>
      <c r="S1423" s="211">
        <f t="shared" si="121"/>
        <v>0</v>
      </c>
    </row>
    <row r="1424" spans="2:19" ht="12.75">
      <c r="B1424" s="28">
        <f t="shared" si="122"/>
        <v>90</v>
      </c>
      <c r="C1424" s="5"/>
      <c r="D1424" s="5"/>
      <c r="E1424" s="5"/>
      <c r="F1424" s="33"/>
      <c r="G1424" s="42"/>
      <c r="H1424" s="98" t="s">
        <v>432</v>
      </c>
      <c r="I1424" s="75"/>
      <c r="J1424" s="75"/>
      <c r="K1424" s="190"/>
      <c r="L1424" s="99"/>
      <c r="M1424" s="75">
        <v>165000</v>
      </c>
      <c r="N1424" s="75">
        <v>268</v>
      </c>
      <c r="O1424" s="189">
        <f t="shared" si="123"/>
        <v>0.16242424242424244</v>
      </c>
      <c r="P1424" s="99"/>
      <c r="Q1424" s="75">
        <f t="shared" si="119"/>
        <v>165000</v>
      </c>
      <c r="R1424" s="75">
        <f t="shared" si="120"/>
        <v>268</v>
      </c>
      <c r="S1424" s="188">
        <f t="shared" si="121"/>
        <v>0.16242424242424244</v>
      </c>
    </row>
    <row r="1425" spans="2:19" ht="12.75">
      <c r="B1425" s="28">
        <f t="shared" si="122"/>
        <v>91</v>
      </c>
      <c r="C1425" s="5"/>
      <c r="D1425" s="5"/>
      <c r="E1425" s="5"/>
      <c r="F1425" s="33"/>
      <c r="G1425" s="42"/>
      <c r="H1425" s="98" t="s">
        <v>297</v>
      </c>
      <c r="I1425" s="75"/>
      <c r="J1425" s="75"/>
      <c r="K1425" s="190"/>
      <c r="L1425" s="99"/>
      <c r="M1425" s="75">
        <v>771514</v>
      </c>
      <c r="N1425" s="75">
        <v>268</v>
      </c>
      <c r="O1425" s="189">
        <f t="shared" si="123"/>
        <v>0.03473689395137353</v>
      </c>
      <c r="P1425" s="99"/>
      <c r="Q1425" s="75">
        <f t="shared" si="119"/>
        <v>771514</v>
      </c>
      <c r="R1425" s="75">
        <f t="shared" si="120"/>
        <v>268</v>
      </c>
      <c r="S1425" s="188">
        <f t="shared" si="121"/>
        <v>0.03473689395137353</v>
      </c>
    </row>
    <row r="1426" spans="2:19" ht="15">
      <c r="B1426" s="28">
        <f t="shared" si="122"/>
        <v>92</v>
      </c>
      <c r="C1426" s="12"/>
      <c r="D1426" s="12"/>
      <c r="E1426" s="12">
        <v>2</v>
      </c>
      <c r="F1426" s="35"/>
      <c r="G1426" s="43"/>
      <c r="H1426" s="12" t="s">
        <v>15</v>
      </c>
      <c r="I1426" s="82">
        <f>I1427+I1428+I1429+I1437</f>
        <v>113415</v>
      </c>
      <c r="J1426" s="82">
        <f>J1427+J1428+J1429+J1437</f>
        <v>35969</v>
      </c>
      <c r="K1426" s="190">
        <f t="shared" si="118"/>
        <v>31.71449984569942</v>
      </c>
      <c r="L1426" s="182"/>
      <c r="M1426" s="82">
        <f>M1438</f>
        <v>43000</v>
      </c>
      <c r="N1426" s="82">
        <f>N1438</f>
        <v>0</v>
      </c>
      <c r="O1426" s="189">
        <f t="shared" si="123"/>
        <v>0</v>
      </c>
      <c r="P1426" s="182"/>
      <c r="Q1426" s="82">
        <f t="shared" si="119"/>
        <v>156415</v>
      </c>
      <c r="R1426" s="82">
        <f t="shared" si="120"/>
        <v>35969</v>
      </c>
      <c r="S1426" s="188">
        <f t="shared" si="121"/>
        <v>22.995876354569575</v>
      </c>
    </row>
    <row r="1427" spans="2:19" ht="12.75">
      <c r="B1427" s="28">
        <f t="shared" si="122"/>
        <v>93</v>
      </c>
      <c r="C1427" s="9"/>
      <c r="D1427" s="9"/>
      <c r="E1427" s="9"/>
      <c r="F1427" s="31" t="s">
        <v>185</v>
      </c>
      <c r="G1427" s="40">
        <v>610</v>
      </c>
      <c r="H1427" s="9" t="s">
        <v>134</v>
      </c>
      <c r="I1427" s="72">
        <v>42250</v>
      </c>
      <c r="J1427" s="72">
        <v>16657</v>
      </c>
      <c r="K1427" s="190">
        <f t="shared" si="118"/>
        <v>39.424852071005915</v>
      </c>
      <c r="L1427" s="177"/>
      <c r="M1427" s="72"/>
      <c r="N1427" s="72"/>
      <c r="O1427" s="189"/>
      <c r="P1427" s="177"/>
      <c r="Q1427" s="72">
        <f t="shared" si="119"/>
        <v>42250</v>
      </c>
      <c r="R1427" s="72">
        <f t="shared" si="120"/>
        <v>16657</v>
      </c>
      <c r="S1427" s="188">
        <f t="shared" si="121"/>
        <v>39.424852071005915</v>
      </c>
    </row>
    <row r="1428" spans="2:19" ht="12.75">
      <c r="B1428" s="28">
        <f t="shared" si="122"/>
        <v>94</v>
      </c>
      <c r="C1428" s="9"/>
      <c r="D1428" s="9"/>
      <c r="E1428" s="9"/>
      <c r="F1428" s="31" t="s">
        <v>185</v>
      </c>
      <c r="G1428" s="40">
        <v>620</v>
      </c>
      <c r="H1428" s="9" t="s">
        <v>128</v>
      </c>
      <c r="I1428" s="72">
        <v>17015</v>
      </c>
      <c r="J1428" s="72">
        <v>5550</v>
      </c>
      <c r="K1428" s="190">
        <f t="shared" si="118"/>
        <v>32.618277990008814</v>
      </c>
      <c r="L1428" s="177"/>
      <c r="M1428" s="72"/>
      <c r="N1428" s="72"/>
      <c r="O1428" s="189"/>
      <c r="P1428" s="177"/>
      <c r="Q1428" s="72">
        <f t="shared" si="119"/>
        <v>17015</v>
      </c>
      <c r="R1428" s="72">
        <f t="shared" si="120"/>
        <v>5550</v>
      </c>
      <c r="S1428" s="188">
        <f t="shared" si="121"/>
        <v>32.618277990008814</v>
      </c>
    </row>
    <row r="1429" spans="2:19" ht="12.75">
      <c r="B1429" s="28">
        <f t="shared" si="122"/>
        <v>95</v>
      </c>
      <c r="C1429" s="9"/>
      <c r="D1429" s="9"/>
      <c r="E1429" s="9"/>
      <c r="F1429" s="31" t="s">
        <v>185</v>
      </c>
      <c r="G1429" s="40">
        <v>630</v>
      </c>
      <c r="H1429" s="9" t="s">
        <v>125</v>
      </c>
      <c r="I1429" s="72">
        <f>SUM(I1430:I1436)</f>
        <v>53450</v>
      </c>
      <c r="J1429" s="72">
        <f>SUM(J1430:J1436)</f>
        <v>13613</v>
      </c>
      <c r="K1429" s="190">
        <f t="shared" si="118"/>
        <v>25.46866230121609</v>
      </c>
      <c r="L1429" s="177"/>
      <c r="M1429" s="72"/>
      <c r="N1429" s="72"/>
      <c r="O1429" s="189"/>
      <c r="P1429" s="177"/>
      <c r="Q1429" s="72">
        <f t="shared" si="119"/>
        <v>53450</v>
      </c>
      <c r="R1429" s="72">
        <f t="shared" si="120"/>
        <v>13613</v>
      </c>
      <c r="S1429" s="188">
        <f t="shared" si="121"/>
        <v>25.46866230121609</v>
      </c>
    </row>
    <row r="1430" spans="2:19" ht="12.75">
      <c r="B1430" s="28">
        <f t="shared" si="122"/>
        <v>96</v>
      </c>
      <c r="C1430" s="4"/>
      <c r="D1430" s="4"/>
      <c r="E1430" s="4"/>
      <c r="F1430" s="32" t="s">
        <v>185</v>
      </c>
      <c r="G1430" s="41">
        <v>632</v>
      </c>
      <c r="H1430" s="4" t="s">
        <v>138</v>
      </c>
      <c r="I1430" s="71">
        <v>5000</v>
      </c>
      <c r="J1430" s="71">
        <v>414</v>
      </c>
      <c r="K1430" s="190">
        <f t="shared" si="118"/>
        <v>8.28</v>
      </c>
      <c r="L1430" s="178"/>
      <c r="M1430" s="71"/>
      <c r="N1430" s="71"/>
      <c r="O1430" s="189"/>
      <c r="P1430" s="178"/>
      <c r="Q1430" s="71">
        <f t="shared" si="119"/>
        <v>5000</v>
      </c>
      <c r="R1430" s="71">
        <f t="shared" si="120"/>
        <v>414</v>
      </c>
      <c r="S1430" s="188">
        <f t="shared" si="121"/>
        <v>8.28</v>
      </c>
    </row>
    <row r="1431" spans="2:19" ht="12.75">
      <c r="B1431" s="28">
        <f t="shared" si="122"/>
        <v>97</v>
      </c>
      <c r="C1431" s="4"/>
      <c r="D1431" s="4"/>
      <c r="E1431" s="4"/>
      <c r="F1431" s="32" t="s">
        <v>185</v>
      </c>
      <c r="G1431" s="41">
        <v>633</v>
      </c>
      <c r="H1431" s="4" t="s">
        <v>129</v>
      </c>
      <c r="I1431" s="71">
        <v>15700</v>
      </c>
      <c r="J1431" s="71">
        <v>7995</v>
      </c>
      <c r="K1431" s="190">
        <f t="shared" si="118"/>
        <v>50.9235668789809</v>
      </c>
      <c r="L1431" s="178"/>
      <c r="M1431" s="71"/>
      <c r="N1431" s="71"/>
      <c r="O1431" s="189"/>
      <c r="P1431" s="178"/>
      <c r="Q1431" s="71">
        <f t="shared" si="119"/>
        <v>15700</v>
      </c>
      <c r="R1431" s="71">
        <f t="shared" si="120"/>
        <v>7995</v>
      </c>
      <c r="S1431" s="188">
        <f t="shared" si="121"/>
        <v>50.9235668789809</v>
      </c>
    </row>
    <row r="1432" spans="2:19" ht="12.75">
      <c r="B1432" s="28">
        <f t="shared" si="122"/>
        <v>98</v>
      </c>
      <c r="C1432" s="4"/>
      <c r="D1432" s="4"/>
      <c r="E1432" s="4"/>
      <c r="F1432" s="32" t="s">
        <v>185</v>
      </c>
      <c r="G1432" s="41">
        <v>634</v>
      </c>
      <c r="H1432" s="4" t="s">
        <v>135</v>
      </c>
      <c r="I1432" s="71">
        <v>1500</v>
      </c>
      <c r="J1432" s="71">
        <v>472</v>
      </c>
      <c r="K1432" s="190">
        <f t="shared" si="118"/>
        <v>31.466666666666665</v>
      </c>
      <c r="L1432" s="178"/>
      <c r="M1432" s="71"/>
      <c r="N1432" s="71"/>
      <c r="O1432" s="189"/>
      <c r="P1432" s="178"/>
      <c r="Q1432" s="71">
        <f t="shared" si="119"/>
        <v>1500</v>
      </c>
      <c r="R1432" s="71">
        <f t="shared" si="120"/>
        <v>472</v>
      </c>
      <c r="S1432" s="188">
        <f t="shared" si="121"/>
        <v>31.466666666666665</v>
      </c>
    </row>
    <row r="1433" spans="2:19" ht="12.75">
      <c r="B1433" s="28">
        <f t="shared" si="122"/>
        <v>99</v>
      </c>
      <c r="C1433" s="4"/>
      <c r="D1433" s="4"/>
      <c r="E1433" s="4"/>
      <c r="F1433" s="32" t="s">
        <v>185</v>
      </c>
      <c r="G1433" s="41">
        <v>635</v>
      </c>
      <c r="H1433" s="4" t="s">
        <v>136</v>
      </c>
      <c r="I1433" s="71">
        <f>12700+10000-10000</f>
        <v>12700</v>
      </c>
      <c r="J1433" s="71">
        <v>564</v>
      </c>
      <c r="K1433" s="190">
        <f t="shared" si="118"/>
        <v>4.440944881889763</v>
      </c>
      <c r="L1433" s="178"/>
      <c r="M1433" s="71"/>
      <c r="N1433" s="71"/>
      <c r="O1433" s="189"/>
      <c r="P1433" s="178"/>
      <c r="Q1433" s="71">
        <f t="shared" si="119"/>
        <v>12700</v>
      </c>
      <c r="R1433" s="71">
        <f t="shared" si="120"/>
        <v>564</v>
      </c>
      <c r="S1433" s="188">
        <f t="shared" si="121"/>
        <v>4.440944881889763</v>
      </c>
    </row>
    <row r="1434" spans="2:19" ht="12.75">
      <c r="B1434" s="28">
        <f t="shared" si="122"/>
        <v>100</v>
      </c>
      <c r="C1434" s="4"/>
      <c r="D1434" s="4"/>
      <c r="E1434" s="4"/>
      <c r="F1434" s="32" t="s">
        <v>185</v>
      </c>
      <c r="G1434" s="41">
        <v>636</v>
      </c>
      <c r="H1434" s="4" t="s">
        <v>130</v>
      </c>
      <c r="I1434" s="71">
        <v>2300</v>
      </c>
      <c r="J1434" s="71">
        <v>733</v>
      </c>
      <c r="K1434" s="190">
        <f t="shared" si="118"/>
        <v>31.869565217391305</v>
      </c>
      <c r="L1434" s="178"/>
      <c r="M1434" s="71"/>
      <c r="N1434" s="71"/>
      <c r="O1434" s="189"/>
      <c r="P1434" s="178"/>
      <c r="Q1434" s="71">
        <f t="shared" si="119"/>
        <v>2300</v>
      </c>
      <c r="R1434" s="71">
        <f t="shared" si="120"/>
        <v>733</v>
      </c>
      <c r="S1434" s="188">
        <f t="shared" si="121"/>
        <v>31.869565217391305</v>
      </c>
    </row>
    <row r="1435" spans="2:19" ht="12.75">
      <c r="B1435" s="28">
        <f t="shared" si="122"/>
        <v>101</v>
      </c>
      <c r="C1435" s="4"/>
      <c r="D1435" s="4"/>
      <c r="E1435" s="4"/>
      <c r="F1435" s="32" t="s">
        <v>185</v>
      </c>
      <c r="G1435" s="41">
        <v>637</v>
      </c>
      <c r="H1435" s="4" t="s">
        <v>126</v>
      </c>
      <c r="I1435" s="71">
        <f>16050-350</f>
        <v>15700</v>
      </c>
      <c r="J1435" s="71">
        <v>3435</v>
      </c>
      <c r="K1435" s="190">
        <f t="shared" si="118"/>
        <v>21.878980891719745</v>
      </c>
      <c r="L1435" s="178"/>
      <c r="M1435" s="71"/>
      <c r="N1435" s="71"/>
      <c r="O1435" s="189"/>
      <c r="P1435" s="178"/>
      <c r="Q1435" s="71">
        <f t="shared" si="119"/>
        <v>15700</v>
      </c>
      <c r="R1435" s="71">
        <f t="shared" si="120"/>
        <v>3435</v>
      </c>
      <c r="S1435" s="188">
        <f t="shared" si="121"/>
        <v>21.878980891719745</v>
      </c>
    </row>
    <row r="1436" spans="2:19" ht="12.75">
      <c r="B1436" s="28">
        <f t="shared" si="122"/>
        <v>102</v>
      </c>
      <c r="C1436" s="4"/>
      <c r="D1436" s="4"/>
      <c r="E1436" s="4"/>
      <c r="F1436" s="32" t="s">
        <v>185</v>
      </c>
      <c r="G1436" s="41">
        <v>637</v>
      </c>
      <c r="H1436" s="4" t="s">
        <v>295</v>
      </c>
      <c r="I1436" s="71">
        <v>550</v>
      </c>
      <c r="J1436" s="71">
        <v>0</v>
      </c>
      <c r="K1436" s="190">
        <f t="shared" si="118"/>
        <v>0</v>
      </c>
      <c r="L1436" s="178"/>
      <c r="M1436" s="71"/>
      <c r="N1436" s="71"/>
      <c r="O1436" s="189"/>
      <c r="P1436" s="178"/>
      <c r="Q1436" s="71">
        <f t="shared" si="119"/>
        <v>550</v>
      </c>
      <c r="R1436" s="71">
        <f t="shared" si="120"/>
        <v>0</v>
      </c>
      <c r="S1436" s="188">
        <f t="shared" si="121"/>
        <v>0</v>
      </c>
    </row>
    <row r="1437" spans="2:19" ht="12.75">
      <c r="B1437" s="28">
        <f t="shared" si="122"/>
        <v>103</v>
      </c>
      <c r="C1437" s="9"/>
      <c r="D1437" s="9"/>
      <c r="E1437" s="9"/>
      <c r="F1437" s="31" t="s">
        <v>185</v>
      </c>
      <c r="G1437" s="40">
        <v>640</v>
      </c>
      <c r="H1437" s="9" t="s">
        <v>132</v>
      </c>
      <c r="I1437" s="72">
        <f>350+350</f>
        <v>700</v>
      </c>
      <c r="J1437" s="72">
        <v>149</v>
      </c>
      <c r="K1437" s="190">
        <f t="shared" si="118"/>
        <v>21.285714285714285</v>
      </c>
      <c r="L1437" s="177"/>
      <c r="M1437" s="72"/>
      <c r="N1437" s="72"/>
      <c r="O1437" s="189"/>
      <c r="P1437" s="177"/>
      <c r="Q1437" s="72">
        <f t="shared" si="119"/>
        <v>700</v>
      </c>
      <c r="R1437" s="72">
        <f t="shared" si="120"/>
        <v>149</v>
      </c>
      <c r="S1437" s="188">
        <f t="shared" si="121"/>
        <v>21.285714285714285</v>
      </c>
    </row>
    <row r="1438" spans="2:19" ht="12.75">
      <c r="B1438" s="28">
        <f t="shared" si="122"/>
        <v>104</v>
      </c>
      <c r="C1438" s="9"/>
      <c r="D1438" s="9"/>
      <c r="E1438" s="9"/>
      <c r="F1438" s="31" t="s">
        <v>185</v>
      </c>
      <c r="G1438" s="40">
        <v>710</v>
      </c>
      <c r="H1438" s="9" t="s">
        <v>180</v>
      </c>
      <c r="I1438" s="72"/>
      <c r="J1438" s="72"/>
      <c r="K1438" s="190"/>
      <c r="L1438" s="177"/>
      <c r="M1438" s="72">
        <f>M1440+M1439</f>
        <v>43000</v>
      </c>
      <c r="N1438" s="72">
        <f>N1440+N1439</f>
        <v>0</v>
      </c>
      <c r="O1438" s="189">
        <f t="shared" si="123"/>
        <v>0</v>
      </c>
      <c r="P1438" s="177"/>
      <c r="Q1438" s="72">
        <f t="shared" si="119"/>
        <v>43000</v>
      </c>
      <c r="R1438" s="72">
        <f t="shared" si="120"/>
        <v>0</v>
      </c>
      <c r="S1438" s="188">
        <f t="shared" si="121"/>
        <v>0</v>
      </c>
    </row>
    <row r="1439" spans="2:19" ht="12.75">
      <c r="B1439" s="28">
        <f t="shared" si="122"/>
        <v>105</v>
      </c>
      <c r="C1439" s="9"/>
      <c r="D1439" s="9"/>
      <c r="E1439" s="9"/>
      <c r="F1439" s="56" t="s">
        <v>185</v>
      </c>
      <c r="G1439" s="57">
        <v>714</v>
      </c>
      <c r="H1439" s="55" t="s">
        <v>561</v>
      </c>
      <c r="I1439" s="164"/>
      <c r="J1439" s="164"/>
      <c r="K1439" s="190"/>
      <c r="L1439" s="178"/>
      <c r="M1439" s="164">
        <v>15000</v>
      </c>
      <c r="N1439" s="164"/>
      <c r="O1439" s="189">
        <f t="shared" si="123"/>
        <v>0</v>
      </c>
      <c r="P1439" s="178"/>
      <c r="Q1439" s="164">
        <f t="shared" si="119"/>
        <v>15000</v>
      </c>
      <c r="R1439" s="164">
        <f t="shared" si="120"/>
        <v>0</v>
      </c>
      <c r="S1439" s="188">
        <f t="shared" si="121"/>
        <v>0</v>
      </c>
    </row>
    <row r="1440" spans="2:19" ht="12.75">
      <c r="B1440" s="28">
        <f t="shared" si="122"/>
        <v>106</v>
      </c>
      <c r="C1440" s="9"/>
      <c r="D1440" s="9"/>
      <c r="E1440" s="9"/>
      <c r="F1440" s="32" t="s">
        <v>185</v>
      </c>
      <c r="G1440" s="41">
        <v>717</v>
      </c>
      <c r="H1440" s="4" t="s">
        <v>190</v>
      </c>
      <c r="I1440" s="71"/>
      <c r="J1440" s="71"/>
      <c r="K1440" s="190"/>
      <c r="L1440" s="178"/>
      <c r="M1440" s="71">
        <f>M1441</f>
        <v>28000</v>
      </c>
      <c r="N1440" s="71">
        <f>N1441</f>
        <v>0</v>
      </c>
      <c r="O1440" s="189">
        <f t="shared" si="123"/>
        <v>0</v>
      </c>
      <c r="P1440" s="178"/>
      <c r="Q1440" s="71">
        <f>I1440+M1440</f>
        <v>28000</v>
      </c>
      <c r="R1440" s="71">
        <f t="shared" si="120"/>
        <v>0</v>
      </c>
      <c r="S1440" s="188">
        <f t="shared" si="121"/>
        <v>0</v>
      </c>
    </row>
    <row r="1441" spans="2:19" ht="12.75">
      <c r="B1441" s="28">
        <f t="shared" si="122"/>
        <v>107</v>
      </c>
      <c r="C1441" s="9"/>
      <c r="D1441" s="9"/>
      <c r="E1441" s="9"/>
      <c r="F1441" s="33"/>
      <c r="G1441" s="42"/>
      <c r="H1441" s="98" t="s">
        <v>557</v>
      </c>
      <c r="I1441" s="75"/>
      <c r="J1441" s="75"/>
      <c r="K1441" s="190"/>
      <c r="L1441" s="99"/>
      <c r="M1441" s="75">
        <v>28000</v>
      </c>
      <c r="N1441" s="75"/>
      <c r="O1441" s="189">
        <f t="shared" si="123"/>
        <v>0</v>
      </c>
      <c r="P1441" s="99"/>
      <c r="Q1441" s="75">
        <f>I1441+M1441</f>
        <v>28000</v>
      </c>
      <c r="R1441" s="75">
        <f t="shared" si="120"/>
        <v>0</v>
      </c>
      <c r="S1441" s="188">
        <f t="shared" si="121"/>
        <v>0</v>
      </c>
    </row>
    <row r="1490" spans="2:17" ht="27.75" thickBot="1">
      <c r="B1490" s="287" t="s">
        <v>26</v>
      </c>
      <c r="C1490" s="288"/>
      <c r="D1490" s="288"/>
      <c r="E1490" s="288"/>
      <c r="F1490" s="288"/>
      <c r="G1490" s="288"/>
      <c r="H1490" s="288"/>
      <c r="I1490" s="288"/>
      <c r="J1490" s="288"/>
      <c r="K1490" s="288"/>
      <c r="L1490" s="288"/>
      <c r="M1490" s="288"/>
      <c r="N1490" s="288"/>
      <c r="O1490" s="288"/>
      <c r="P1490" s="288"/>
      <c r="Q1490" s="288"/>
    </row>
    <row r="1491" spans="2:19" ht="12.75" customHeight="1" thickBot="1">
      <c r="B1491" s="269" t="s">
        <v>309</v>
      </c>
      <c r="C1491" s="269"/>
      <c r="D1491" s="269"/>
      <c r="E1491" s="269"/>
      <c r="F1491" s="269"/>
      <c r="G1491" s="269"/>
      <c r="H1491" s="269"/>
      <c r="I1491" s="269"/>
      <c r="J1491" s="269"/>
      <c r="K1491" s="269"/>
      <c r="L1491" s="269"/>
      <c r="M1491" s="269"/>
      <c r="N1491" s="269"/>
      <c r="O1491" s="269"/>
      <c r="P1491" s="170"/>
      <c r="Q1491" s="274" t="s">
        <v>515</v>
      </c>
      <c r="R1491" s="265" t="s">
        <v>569</v>
      </c>
      <c r="S1491" s="266" t="s">
        <v>564</v>
      </c>
    </row>
    <row r="1492" spans="2:19" ht="12.75" customHeight="1" thickBot="1">
      <c r="B1492" s="275"/>
      <c r="C1492" s="273" t="s">
        <v>118</v>
      </c>
      <c r="D1492" s="273" t="s">
        <v>119</v>
      </c>
      <c r="E1492" s="276"/>
      <c r="F1492" s="273" t="s">
        <v>120</v>
      </c>
      <c r="G1492" s="270" t="s">
        <v>121</v>
      </c>
      <c r="H1492" s="271" t="s">
        <v>122</v>
      </c>
      <c r="I1492" s="267" t="s">
        <v>565</v>
      </c>
      <c r="J1492" s="267" t="s">
        <v>566</v>
      </c>
      <c r="K1492" s="268" t="s">
        <v>564</v>
      </c>
      <c r="L1492" s="168"/>
      <c r="M1492" s="272" t="s">
        <v>567</v>
      </c>
      <c r="N1492" s="267" t="s">
        <v>568</v>
      </c>
      <c r="O1492" s="268" t="s">
        <v>564</v>
      </c>
      <c r="P1492" s="171"/>
      <c r="Q1492" s="274"/>
      <c r="R1492" s="265"/>
      <c r="S1492" s="266"/>
    </row>
    <row r="1493" spans="2:19" ht="13.5" thickBot="1">
      <c r="B1493" s="275"/>
      <c r="C1493" s="273"/>
      <c r="D1493" s="273"/>
      <c r="E1493" s="276"/>
      <c r="F1493" s="273"/>
      <c r="G1493" s="270"/>
      <c r="H1493" s="271"/>
      <c r="I1493" s="267"/>
      <c r="J1493" s="267"/>
      <c r="K1493" s="268"/>
      <c r="L1493" s="168"/>
      <c r="M1493" s="272"/>
      <c r="N1493" s="267"/>
      <c r="O1493" s="268"/>
      <c r="P1493" s="171"/>
      <c r="Q1493" s="274"/>
      <c r="R1493" s="265"/>
      <c r="S1493" s="266"/>
    </row>
    <row r="1494" spans="2:19" ht="13.5" thickBot="1">
      <c r="B1494" s="275"/>
      <c r="C1494" s="273"/>
      <c r="D1494" s="273"/>
      <c r="E1494" s="276"/>
      <c r="F1494" s="273"/>
      <c r="G1494" s="270"/>
      <c r="H1494" s="271"/>
      <c r="I1494" s="267"/>
      <c r="J1494" s="267"/>
      <c r="K1494" s="268"/>
      <c r="L1494" s="168"/>
      <c r="M1494" s="272"/>
      <c r="N1494" s="267"/>
      <c r="O1494" s="268"/>
      <c r="P1494" s="171"/>
      <c r="Q1494" s="274"/>
      <c r="R1494" s="265"/>
      <c r="S1494" s="266"/>
    </row>
    <row r="1495" spans="2:19" ht="13.5" thickBot="1">
      <c r="B1495" s="275"/>
      <c r="C1495" s="273"/>
      <c r="D1495" s="273"/>
      <c r="E1495" s="276"/>
      <c r="F1495" s="273"/>
      <c r="G1495" s="270"/>
      <c r="H1495" s="271"/>
      <c r="I1495" s="267"/>
      <c r="J1495" s="267"/>
      <c r="K1495" s="268"/>
      <c r="L1495" s="169"/>
      <c r="M1495" s="272"/>
      <c r="N1495" s="267"/>
      <c r="O1495" s="268"/>
      <c r="P1495" s="171"/>
      <c r="Q1495" s="274"/>
      <c r="R1495" s="265"/>
      <c r="S1495" s="266"/>
    </row>
    <row r="1496" spans="2:19" ht="16.5" thickTop="1">
      <c r="B1496" s="28">
        <v>1</v>
      </c>
      <c r="C1496" s="281" t="s">
        <v>26</v>
      </c>
      <c r="D1496" s="285"/>
      <c r="E1496" s="285"/>
      <c r="F1496" s="285"/>
      <c r="G1496" s="285"/>
      <c r="H1496" s="286"/>
      <c r="I1496" s="81">
        <f>I1497+I1507+I1511+I1524</f>
        <v>455980</v>
      </c>
      <c r="J1496" s="81">
        <f>J1497+J1507+J1511+J1524</f>
        <v>75847</v>
      </c>
      <c r="K1496" s="189">
        <f aca="true" t="shared" si="124" ref="K1496:K1517">J1496/I1496*100</f>
        <v>16.633843589631127</v>
      </c>
      <c r="L1496" s="179"/>
      <c r="M1496" s="81">
        <f>M1497+M1507+M1511+M1524</f>
        <v>206320</v>
      </c>
      <c r="N1496" s="81">
        <f>N1497+N1507+N1511+N1524</f>
        <v>11815</v>
      </c>
      <c r="O1496" s="189">
        <f>N1496/M1496*100</f>
        <v>5.726541295075611</v>
      </c>
      <c r="P1496" s="179"/>
      <c r="Q1496" s="81">
        <f aca="true" t="shared" si="125" ref="Q1496:Q1526">I1496+M1496</f>
        <v>662300</v>
      </c>
      <c r="R1496" s="81">
        <f aca="true" t="shared" si="126" ref="R1496:R1526">J1496+N1496</f>
        <v>87662</v>
      </c>
      <c r="S1496" s="188">
        <f aca="true" t="shared" si="127" ref="S1496:S1526">R1496/Q1496*100</f>
        <v>13.23599577230862</v>
      </c>
    </row>
    <row r="1497" spans="2:19" ht="15">
      <c r="B1497" s="28">
        <v>2</v>
      </c>
      <c r="C1497" s="7">
        <v>1</v>
      </c>
      <c r="D1497" s="277" t="s">
        <v>237</v>
      </c>
      <c r="E1497" s="278"/>
      <c r="F1497" s="278"/>
      <c r="G1497" s="278"/>
      <c r="H1497" s="279"/>
      <c r="I1497" s="79">
        <f>I1498</f>
        <v>157180</v>
      </c>
      <c r="J1497" s="79">
        <f>J1498</f>
        <v>3500</v>
      </c>
      <c r="K1497" s="190">
        <f t="shared" si="124"/>
        <v>2.226746405395088</v>
      </c>
      <c r="L1497" s="175"/>
      <c r="M1497" s="79">
        <v>0</v>
      </c>
      <c r="N1497" s="79"/>
      <c r="O1497" s="189"/>
      <c r="P1497" s="175"/>
      <c r="Q1497" s="79">
        <f t="shared" si="125"/>
        <v>157180</v>
      </c>
      <c r="R1497" s="79">
        <f t="shared" si="126"/>
        <v>3500</v>
      </c>
      <c r="S1497" s="188">
        <f t="shared" si="127"/>
        <v>2.226746405395088</v>
      </c>
    </row>
    <row r="1498" spans="2:19" ht="12.75">
      <c r="B1498" s="25">
        <f>B1497+1</f>
        <v>3</v>
      </c>
      <c r="C1498" s="9"/>
      <c r="D1498" s="9"/>
      <c r="E1498" s="9"/>
      <c r="F1498" s="31" t="s">
        <v>73</v>
      </c>
      <c r="G1498" s="40">
        <v>640</v>
      </c>
      <c r="H1498" s="9" t="s">
        <v>132</v>
      </c>
      <c r="I1498" s="72">
        <f>SUM(I1499:I1506)</f>
        <v>157180</v>
      </c>
      <c r="J1498" s="72">
        <f>SUM(J1499:J1506)</f>
        <v>3500</v>
      </c>
      <c r="K1498" s="190">
        <f t="shared" si="124"/>
        <v>2.226746405395088</v>
      </c>
      <c r="L1498" s="177"/>
      <c r="M1498" s="72"/>
      <c r="N1498" s="72"/>
      <c r="O1498" s="189"/>
      <c r="P1498" s="177"/>
      <c r="Q1498" s="72">
        <f t="shared" si="125"/>
        <v>157180</v>
      </c>
      <c r="R1498" s="72">
        <f t="shared" si="126"/>
        <v>3500</v>
      </c>
      <c r="S1498" s="188">
        <f t="shared" si="127"/>
        <v>2.226746405395088</v>
      </c>
    </row>
    <row r="1499" spans="2:19" ht="12.75">
      <c r="B1499" s="25">
        <f aca="true" t="shared" si="128" ref="B1499:B1526">B1498+1</f>
        <v>4</v>
      </c>
      <c r="C1499" s="5"/>
      <c r="D1499" s="5"/>
      <c r="E1499" s="5"/>
      <c r="F1499" s="33"/>
      <c r="G1499" s="42"/>
      <c r="H1499" s="5" t="s">
        <v>285</v>
      </c>
      <c r="I1499" s="75">
        <v>90000</v>
      </c>
      <c r="J1499" s="75">
        <v>0</v>
      </c>
      <c r="K1499" s="190">
        <f t="shared" si="124"/>
        <v>0</v>
      </c>
      <c r="L1499" s="99"/>
      <c r="M1499" s="75"/>
      <c r="N1499" s="75"/>
      <c r="O1499" s="189"/>
      <c r="P1499" s="99"/>
      <c r="Q1499" s="75">
        <f t="shared" si="125"/>
        <v>90000</v>
      </c>
      <c r="R1499" s="75">
        <f t="shared" si="126"/>
        <v>0</v>
      </c>
      <c r="S1499" s="188">
        <f t="shared" si="127"/>
        <v>0</v>
      </c>
    </row>
    <row r="1500" spans="2:19" ht="12.75">
      <c r="B1500" s="25">
        <f t="shared" si="128"/>
        <v>5</v>
      </c>
      <c r="C1500" s="5"/>
      <c r="D1500" s="5"/>
      <c r="E1500" s="5"/>
      <c r="F1500" s="33"/>
      <c r="G1500" s="42"/>
      <c r="H1500" s="5" t="s">
        <v>381</v>
      </c>
      <c r="I1500" s="75">
        <v>5000</v>
      </c>
      <c r="J1500" s="75">
        <v>0</v>
      </c>
      <c r="K1500" s="190">
        <f t="shared" si="124"/>
        <v>0</v>
      </c>
      <c r="L1500" s="99"/>
      <c r="M1500" s="75"/>
      <c r="N1500" s="75"/>
      <c r="O1500" s="189"/>
      <c r="P1500" s="99"/>
      <c r="Q1500" s="75">
        <f t="shared" si="125"/>
        <v>5000</v>
      </c>
      <c r="R1500" s="75">
        <f t="shared" si="126"/>
        <v>0</v>
      </c>
      <c r="S1500" s="188">
        <f t="shared" si="127"/>
        <v>0</v>
      </c>
    </row>
    <row r="1501" spans="2:19" ht="12.75">
      <c r="B1501" s="25">
        <f t="shared" si="128"/>
        <v>6</v>
      </c>
      <c r="C1501" s="5"/>
      <c r="D1501" s="5"/>
      <c r="E1501" s="5"/>
      <c r="F1501" s="33"/>
      <c r="G1501" s="42"/>
      <c r="H1501" s="5" t="s">
        <v>382</v>
      </c>
      <c r="I1501" s="75">
        <v>5000</v>
      </c>
      <c r="J1501" s="75">
        <v>0</v>
      </c>
      <c r="K1501" s="190">
        <f t="shared" si="124"/>
        <v>0</v>
      </c>
      <c r="L1501" s="99"/>
      <c r="M1501" s="75"/>
      <c r="N1501" s="75"/>
      <c r="O1501" s="189"/>
      <c r="P1501" s="99"/>
      <c r="Q1501" s="75">
        <f t="shared" si="125"/>
        <v>5000</v>
      </c>
      <c r="R1501" s="75">
        <f t="shared" si="126"/>
        <v>0</v>
      </c>
      <c r="S1501" s="188">
        <f t="shared" si="127"/>
        <v>0</v>
      </c>
    </row>
    <row r="1502" spans="2:19" ht="12.75">
      <c r="B1502" s="25">
        <f t="shared" si="128"/>
        <v>7</v>
      </c>
      <c r="C1502" s="5"/>
      <c r="D1502" s="5"/>
      <c r="E1502" s="5"/>
      <c r="F1502" s="33"/>
      <c r="G1502" s="42"/>
      <c r="H1502" s="5" t="s">
        <v>288</v>
      </c>
      <c r="I1502" s="75">
        <f>20000+340</f>
        <v>20340</v>
      </c>
      <c r="J1502" s="75">
        <v>0</v>
      </c>
      <c r="K1502" s="190">
        <f t="shared" si="124"/>
        <v>0</v>
      </c>
      <c r="L1502" s="99"/>
      <c r="M1502" s="75"/>
      <c r="N1502" s="75"/>
      <c r="O1502" s="189"/>
      <c r="P1502" s="99"/>
      <c r="Q1502" s="75">
        <f t="shared" si="125"/>
        <v>20340</v>
      </c>
      <c r="R1502" s="75">
        <f t="shared" si="126"/>
        <v>0</v>
      </c>
      <c r="S1502" s="188">
        <f t="shared" si="127"/>
        <v>0</v>
      </c>
    </row>
    <row r="1503" spans="2:19" ht="12.75">
      <c r="B1503" s="25">
        <f t="shared" si="128"/>
        <v>8</v>
      </c>
      <c r="C1503" s="5"/>
      <c r="D1503" s="5"/>
      <c r="E1503" s="5"/>
      <c r="F1503" s="33"/>
      <c r="G1503" s="42"/>
      <c r="H1503" s="5" t="s">
        <v>413</v>
      </c>
      <c r="I1503" s="75">
        <v>10000</v>
      </c>
      <c r="J1503" s="75">
        <v>0</v>
      </c>
      <c r="K1503" s="190">
        <f t="shared" si="124"/>
        <v>0</v>
      </c>
      <c r="L1503" s="99"/>
      <c r="M1503" s="75"/>
      <c r="N1503" s="75"/>
      <c r="O1503" s="189"/>
      <c r="P1503" s="99"/>
      <c r="Q1503" s="75">
        <f t="shared" si="125"/>
        <v>10000</v>
      </c>
      <c r="R1503" s="75">
        <f t="shared" si="126"/>
        <v>0</v>
      </c>
      <c r="S1503" s="188">
        <f t="shared" si="127"/>
        <v>0</v>
      </c>
    </row>
    <row r="1504" spans="2:19" ht="12.75">
      <c r="B1504" s="25">
        <f t="shared" si="128"/>
        <v>9</v>
      </c>
      <c r="C1504" s="5"/>
      <c r="D1504" s="5"/>
      <c r="E1504" s="5"/>
      <c r="F1504" s="33"/>
      <c r="G1504" s="42"/>
      <c r="H1504" s="5" t="s">
        <v>366</v>
      </c>
      <c r="I1504" s="75">
        <f>20000+340</f>
        <v>20340</v>
      </c>
      <c r="J1504" s="75">
        <v>0</v>
      </c>
      <c r="K1504" s="190">
        <f t="shared" si="124"/>
        <v>0</v>
      </c>
      <c r="L1504" s="99"/>
      <c r="M1504" s="75"/>
      <c r="N1504" s="75"/>
      <c r="O1504" s="189"/>
      <c r="P1504" s="99"/>
      <c r="Q1504" s="75">
        <f t="shared" si="125"/>
        <v>20340</v>
      </c>
      <c r="R1504" s="75">
        <f t="shared" si="126"/>
        <v>0</v>
      </c>
      <c r="S1504" s="188">
        <f t="shared" si="127"/>
        <v>0</v>
      </c>
    </row>
    <row r="1505" spans="2:19" ht="12.75">
      <c r="B1505" s="25">
        <f t="shared" si="128"/>
        <v>10</v>
      </c>
      <c r="C1505" s="5"/>
      <c r="D1505" s="5"/>
      <c r="E1505" s="5"/>
      <c r="F1505" s="33"/>
      <c r="G1505" s="42"/>
      <c r="H1505" s="5" t="s">
        <v>519</v>
      </c>
      <c r="I1505" s="75">
        <v>3500</v>
      </c>
      <c r="J1505" s="75">
        <v>3500</v>
      </c>
      <c r="K1505" s="190">
        <f t="shared" si="124"/>
        <v>100</v>
      </c>
      <c r="L1505" s="99"/>
      <c r="M1505" s="75"/>
      <c r="N1505" s="75"/>
      <c r="O1505" s="189"/>
      <c r="P1505" s="99"/>
      <c r="Q1505" s="75">
        <f>I1505+M1505</f>
        <v>3500</v>
      </c>
      <c r="R1505" s="75">
        <f t="shared" si="126"/>
        <v>3500</v>
      </c>
      <c r="S1505" s="188">
        <f t="shared" si="127"/>
        <v>100</v>
      </c>
    </row>
    <row r="1506" spans="2:19" ht="33.75">
      <c r="B1506" s="25">
        <f t="shared" si="128"/>
        <v>11</v>
      </c>
      <c r="C1506" s="5"/>
      <c r="D1506" s="5"/>
      <c r="E1506" s="5"/>
      <c r="F1506" s="33"/>
      <c r="G1506" s="42"/>
      <c r="H1506" s="30" t="s">
        <v>529</v>
      </c>
      <c r="I1506" s="83">
        <v>3000</v>
      </c>
      <c r="J1506" s="83">
        <v>0</v>
      </c>
      <c r="K1506" s="190">
        <f t="shared" si="124"/>
        <v>0</v>
      </c>
      <c r="L1506" s="107"/>
      <c r="M1506" s="83"/>
      <c r="N1506" s="83"/>
      <c r="O1506" s="189"/>
      <c r="P1506" s="107"/>
      <c r="Q1506" s="83">
        <f>I1506+M1506</f>
        <v>3000</v>
      </c>
      <c r="R1506" s="83">
        <f t="shared" si="126"/>
        <v>0</v>
      </c>
      <c r="S1506" s="211">
        <f t="shared" si="127"/>
        <v>0</v>
      </c>
    </row>
    <row r="1507" spans="2:19" ht="15">
      <c r="B1507" s="25">
        <f t="shared" si="128"/>
        <v>12</v>
      </c>
      <c r="C1507" s="7">
        <v>2</v>
      </c>
      <c r="D1507" s="277" t="s">
        <v>177</v>
      </c>
      <c r="E1507" s="278"/>
      <c r="F1507" s="278"/>
      <c r="G1507" s="278"/>
      <c r="H1507" s="279"/>
      <c r="I1507" s="79">
        <f>I1508</f>
        <v>120000</v>
      </c>
      <c r="J1507" s="79">
        <f>J1508</f>
        <v>4619</v>
      </c>
      <c r="K1507" s="190">
        <f t="shared" si="124"/>
        <v>3.8491666666666666</v>
      </c>
      <c r="L1507" s="175"/>
      <c r="M1507" s="79"/>
      <c r="N1507" s="79"/>
      <c r="O1507" s="189"/>
      <c r="P1507" s="175"/>
      <c r="Q1507" s="79">
        <f t="shared" si="125"/>
        <v>120000</v>
      </c>
      <c r="R1507" s="79">
        <f t="shared" si="126"/>
        <v>4619</v>
      </c>
      <c r="S1507" s="188">
        <f t="shared" si="127"/>
        <v>3.8491666666666666</v>
      </c>
    </row>
    <row r="1508" spans="2:19" ht="12.75">
      <c r="B1508" s="25">
        <f t="shared" si="128"/>
        <v>13</v>
      </c>
      <c r="C1508" s="9"/>
      <c r="D1508" s="9"/>
      <c r="E1508" s="9"/>
      <c r="F1508" s="31" t="s">
        <v>73</v>
      </c>
      <c r="G1508" s="40">
        <v>630</v>
      </c>
      <c r="H1508" s="9" t="s">
        <v>125</v>
      </c>
      <c r="I1508" s="72">
        <f>SUM(I1509:I1510)</f>
        <v>120000</v>
      </c>
      <c r="J1508" s="72">
        <f>SUM(J1509:J1510)</f>
        <v>4619</v>
      </c>
      <c r="K1508" s="190">
        <f t="shared" si="124"/>
        <v>3.8491666666666666</v>
      </c>
      <c r="L1508" s="177"/>
      <c r="M1508" s="72"/>
      <c r="N1508" s="72"/>
      <c r="O1508" s="189"/>
      <c r="P1508" s="177"/>
      <c r="Q1508" s="72">
        <f t="shared" si="125"/>
        <v>120000</v>
      </c>
      <c r="R1508" s="72">
        <f t="shared" si="126"/>
        <v>4619</v>
      </c>
      <c r="S1508" s="188">
        <f t="shared" si="127"/>
        <v>3.8491666666666666</v>
      </c>
    </row>
    <row r="1509" spans="2:19" ht="12.75">
      <c r="B1509" s="25">
        <f t="shared" si="128"/>
        <v>14</v>
      </c>
      <c r="C1509" s="4"/>
      <c r="D1509" s="4"/>
      <c r="E1509" s="4"/>
      <c r="F1509" s="32" t="s">
        <v>73</v>
      </c>
      <c r="G1509" s="41">
        <v>633</v>
      </c>
      <c r="H1509" s="4" t="s">
        <v>129</v>
      </c>
      <c r="I1509" s="71">
        <v>4000</v>
      </c>
      <c r="J1509" s="71">
        <v>147</v>
      </c>
      <c r="K1509" s="190">
        <f t="shared" si="124"/>
        <v>3.675</v>
      </c>
      <c r="L1509" s="178"/>
      <c r="M1509" s="71"/>
      <c r="N1509" s="71"/>
      <c r="O1509" s="189"/>
      <c r="P1509" s="178"/>
      <c r="Q1509" s="71">
        <f t="shared" si="125"/>
        <v>4000</v>
      </c>
      <c r="R1509" s="71">
        <f t="shared" si="126"/>
        <v>147</v>
      </c>
      <c r="S1509" s="188">
        <f t="shared" si="127"/>
        <v>3.675</v>
      </c>
    </row>
    <row r="1510" spans="2:19" ht="12.75">
      <c r="B1510" s="25">
        <f t="shared" si="128"/>
        <v>15</v>
      </c>
      <c r="C1510" s="4"/>
      <c r="D1510" s="22"/>
      <c r="E1510" s="4"/>
      <c r="F1510" s="32" t="s">
        <v>73</v>
      </c>
      <c r="G1510" s="41">
        <v>637</v>
      </c>
      <c r="H1510" s="4" t="s">
        <v>126</v>
      </c>
      <c r="I1510" s="71">
        <f>144000-29000+1000</f>
        <v>116000</v>
      </c>
      <c r="J1510" s="71">
        <v>4472</v>
      </c>
      <c r="K1510" s="190">
        <f t="shared" si="124"/>
        <v>3.855172413793104</v>
      </c>
      <c r="L1510" s="178"/>
      <c r="M1510" s="71"/>
      <c r="N1510" s="71"/>
      <c r="O1510" s="189"/>
      <c r="P1510" s="178"/>
      <c r="Q1510" s="71">
        <f t="shared" si="125"/>
        <v>116000</v>
      </c>
      <c r="R1510" s="71">
        <f t="shared" si="126"/>
        <v>4472</v>
      </c>
      <c r="S1510" s="188">
        <f t="shared" si="127"/>
        <v>3.855172413793104</v>
      </c>
    </row>
    <row r="1511" spans="2:19" ht="15">
      <c r="B1511" s="25">
        <f t="shared" si="128"/>
        <v>16</v>
      </c>
      <c r="C1511" s="7">
        <v>3</v>
      </c>
      <c r="D1511" s="277" t="s">
        <v>141</v>
      </c>
      <c r="E1511" s="278"/>
      <c r="F1511" s="278"/>
      <c r="G1511" s="278"/>
      <c r="H1511" s="279"/>
      <c r="I1511" s="79">
        <f>I1512+I1513</f>
        <v>178800</v>
      </c>
      <c r="J1511" s="79">
        <f>J1512+J1513</f>
        <v>67728</v>
      </c>
      <c r="K1511" s="190">
        <f t="shared" si="124"/>
        <v>37.87919463087248</v>
      </c>
      <c r="L1511" s="175"/>
      <c r="M1511" s="79">
        <f>M1518</f>
        <v>188000</v>
      </c>
      <c r="N1511" s="79">
        <f>N1518</f>
        <v>11815</v>
      </c>
      <c r="O1511" s="189">
        <f>N1511/M1511*100</f>
        <v>6.284574468085107</v>
      </c>
      <c r="P1511" s="175"/>
      <c r="Q1511" s="79">
        <f t="shared" si="125"/>
        <v>366800</v>
      </c>
      <c r="R1511" s="79">
        <f t="shared" si="126"/>
        <v>79543</v>
      </c>
      <c r="S1511" s="188">
        <f t="shared" si="127"/>
        <v>21.68565976008724</v>
      </c>
    </row>
    <row r="1512" spans="2:19" ht="12.75">
      <c r="B1512" s="25">
        <f t="shared" si="128"/>
        <v>17</v>
      </c>
      <c r="C1512" s="9"/>
      <c r="D1512" s="9"/>
      <c r="E1512" s="9"/>
      <c r="F1512" s="31" t="s">
        <v>73</v>
      </c>
      <c r="G1512" s="40">
        <v>620</v>
      </c>
      <c r="H1512" s="9" t="s">
        <v>128</v>
      </c>
      <c r="I1512" s="72">
        <v>5350</v>
      </c>
      <c r="J1512" s="72">
        <v>947</v>
      </c>
      <c r="K1512" s="190">
        <f t="shared" si="124"/>
        <v>17.700934579439252</v>
      </c>
      <c r="L1512" s="177"/>
      <c r="M1512" s="72"/>
      <c r="N1512" s="72"/>
      <c r="O1512" s="189"/>
      <c r="P1512" s="177"/>
      <c r="Q1512" s="72">
        <f t="shared" si="125"/>
        <v>5350</v>
      </c>
      <c r="R1512" s="72">
        <f t="shared" si="126"/>
        <v>947</v>
      </c>
      <c r="S1512" s="188">
        <f t="shared" si="127"/>
        <v>17.700934579439252</v>
      </c>
    </row>
    <row r="1513" spans="2:19" ht="12.75">
      <c r="B1513" s="25">
        <f t="shared" si="128"/>
        <v>18</v>
      </c>
      <c r="C1513" s="9"/>
      <c r="D1513" s="9"/>
      <c r="E1513" s="9"/>
      <c r="F1513" s="31" t="s">
        <v>73</v>
      </c>
      <c r="G1513" s="40">
        <v>630</v>
      </c>
      <c r="H1513" s="9" t="s">
        <v>125</v>
      </c>
      <c r="I1513" s="72">
        <f>SUM(I1514:I1517)</f>
        <v>173450</v>
      </c>
      <c r="J1513" s="72">
        <f>SUM(J1514:J1517)</f>
        <v>66781</v>
      </c>
      <c r="K1513" s="190">
        <f t="shared" si="124"/>
        <v>38.501585471317384</v>
      </c>
      <c r="L1513" s="177"/>
      <c r="M1513" s="72"/>
      <c r="N1513" s="72"/>
      <c r="O1513" s="189"/>
      <c r="P1513" s="177"/>
      <c r="Q1513" s="72">
        <f t="shared" si="125"/>
        <v>173450</v>
      </c>
      <c r="R1513" s="72">
        <f t="shared" si="126"/>
        <v>66781</v>
      </c>
      <c r="S1513" s="188">
        <f t="shared" si="127"/>
        <v>38.501585471317384</v>
      </c>
    </row>
    <row r="1514" spans="2:19" ht="12.75">
      <c r="B1514" s="25">
        <f t="shared" si="128"/>
        <v>19</v>
      </c>
      <c r="C1514" s="4"/>
      <c r="D1514" s="4"/>
      <c r="E1514" s="4"/>
      <c r="F1514" s="32" t="s">
        <v>73</v>
      </c>
      <c r="G1514" s="41">
        <v>632</v>
      </c>
      <c r="H1514" s="4" t="s">
        <v>138</v>
      </c>
      <c r="I1514" s="71">
        <f>125000-9000</f>
        <v>116000</v>
      </c>
      <c r="J1514" s="71">
        <v>47360</v>
      </c>
      <c r="K1514" s="190">
        <f t="shared" si="124"/>
        <v>40.827586206896555</v>
      </c>
      <c r="L1514" s="178"/>
      <c r="M1514" s="71"/>
      <c r="N1514" s="71"/>
      <c r="O1514" s="189"/>
      <c r="P1514" s="178"/>
      <c r="Q1514" s="71">
        <f t="shared" si="125"/>
        <v>116000</v>
      </c>
      <c r="R1514" s="71">
        <f t="shared" si="126"/>
        <v>47360</v>
      </c>
      <c r="S1514" s="188">
        <f t="shared" si="127"/>
        <v>40.827586206896555</v>
      </c>
    </row>
    <row r="1515" spans="2:19" ht="12.75">
      <c r="B1515" s="25">
        <f t="shared" si="128"/>
        <v>20</v>
      </c>
      <c r="C1515" s="4"/>
      <c r="D1515" s="4"/>
      <c r="E1515" s="4"/>
      <c r="F1515" s="32" t="s">
        <v>73</v>
      </c>
      <c r="G1515" s="41">
        <v>633</v>
      </c>
      <c r="H1515" s="4" t="s">
        <v>129</v>
      </c>
      <c r="I1515" s="71">
        <v>16500</v>
      </c>
      <c r="J1515" s="71">
        <v>7299</v>
      </c>
      <c r="K1515" s="190">
        <f t="shared" si="124"/>
        <v>44.236363636363635</v>
      </c>
      <c r="L1515" s="178"/>
      <c r="M1515" s="71"/>
      <c r="N1515" s="71"/>
      <c r="O1515" s="189"/>
      <c r="P1515" s="178"/>
      <c r="Q1515" s="71">
        <f t="shared" si="125"/>
        <v>16500</v>
      </c>
      <c r="R1515" s="71">
        <f t="shared" si="126"/>
        <v>7299</v>
      </c>
      <c r="S1515" s="188">
        <f t="shared" si="127"/>
        <v>44.236363636363635</v>
      </c>
    </row>
    <row r="1516" spans="2:19" ht="12.75">
      <c r="B1516" s="25">
        <f t="shared" si="128"/>
        <v>21</v>
      </c>
      <c r="C1516" s="4"/>
      <c r="D1516" s="4"/>
      <c r="E1516" s="4"/>
      <c r="F1516" s="32" t="s">
        <v>73</v>
      </c>
      <c r="G1516" s="41">
        <v>635</v>
      </c>
      <c r="H1516" s="4" t="s">
        <v>136</v>
      </c>
      <c r="I1516" s="71">
        <v>17000</v>
      </c>
      <c r="J1516" s="71">
        <v>3897</v>
      </c>
      <c r="K1516" s="190">
        <f t="shared" si="124"/>
        <v>22.923529411764708</v>
      </c>
      <c r="L1516" s="178"/>
      <c r="M1516" s="71"/>
      <c r="N1516" s="71"/>
      <c r="O1516" s="189"/>
      <c r="P1516" s="178"/>
      <c r="Q1516" s="71">
        <f t="shared" si="125"/>
        <v>17000</v>
      </c>
      <c r="R1516" s="71">
        <f t="shared" si="126"/>
        <v>3897</v>
      </c>
      <c r="S1516" s="188">
        <f t="shared" si="127"/>
        <v>22.923529411764708</v>
      </c>
    </row>
    <row r="1517" spans="2:19" ht="12.75">
      <c r="B1517" s="25">
        <f t="shared" si="128"/>
        <v>22</v>
      </c>
      <c r="C1517" s="4"/>
      <c r="D1517" s="4"/>
      <c r="E1517" s="4"/>
      <c r="F1517" s="32" t="s">
        <v>73</v>
      </c>
      <c r="G1517" s="41">
        <v>637</v>
      </c>
      <c r="H1517" s="4" t="s">
        <v>126</v>
      </c>
      <c r="I1517" s="71">
        <v>23950</v>
      </c>
      <c r="J1517" s="71">
        <v>8225</v>
      </c>
      <c r="K1517" s="190">
        <f t="shared" si="124"/>
        <v>34.34237995824635</v>
      </c>
      <c r="L1517" s="178"/>
      <c r="M1517" s="71"/>
      <c r="N1517" s="71"/>
      <c r="O1517" s="189"/>
      <c r="P1517" s="178"/>
      <c r="Q1517" s="71">
        <f t="shared" si="125"/>
        <v>23950</v>
      </c>
      <c r="R1517" s="71">
        <f t="shared" si="126"/>
        <v>8225</v>
      </c>
      <c r="S1517" s="188">
        <f t="shared" si="127"/>
        <v>34.34237995824635</v>
      </c>
    </row>
    <row r="1518" spans="2:19" ht="12.75">
      <c r="B1518" s="25">
        <f t="shared" si="128"/>
        <v>23</v>
      </c>
      <c r="C1518" s="9"/>
      <c r="D1518" s="9"/>
      <c r="E1518" s="9"/>
      <c r="F1518" s="31" t="s">
        <v>73</v>
      </c>
      <c r="G1518" s="40">
        <v>710</v>
      </c>
      <c r="H1518" s="9" t="s">
        <v>180</v>
      </c>
      <c r="I1518" s="72"/>
      <c r="J1518" s="72"/>
      <c r="K1518" s="190"/>
      <c r="L1518" s="177"/>
      <c r="M1518" s="72">
        <f>M1521+M1519</f>
        <v>188000</v>
      </c>
      <c r="N1518" s="72">
        <f>N1521+N1519</f>
        <v>11815</v>
      </c>
      <c r="O1518" s="189">
        <f aca="true" t="shared" si="129" ref="O1518:O1526">N1518/M1518*100</f>
        <v>6.284574468085107</v>
      </c>
      <c r="P1518" s="177"/>
      <c r="Q1518" s="72">
        <f t="shared" si="125"/>
        <v>188000</v>
      </c>
      <c r="R1518" s="72">
        <f t="shared" si="126"/>
        <v>11815</v>
      </c>
      <c r="S1518" s="188">
        <f t="shared" si="127"/>
        <v>6.284574468085107</v>
      </c>
    </row>
    <row r="1519" spans="2:19" ht="12.75">
      <c r="B1519" s="25">
        <f t="shared" si="128"/>
        <v>24</v>
      </c>
      <c r="C1519" s="9"/>
      <c r="D1519" s="9"/>
      <c r="E1519" s="9"/>
      <c r="F1519" s="32" t="s">
        <v>73</v>
      </c>
      <c r="G1519" s="41">
        <v>716</v>
      </c>
      <c r="H1519" s="4" t="s">
        <v>225</v>
      </c>
      <c r="I1519" s="75"/>
      <c r="J1519" s="75"/>
      <c r="K1519" s="190"/>
      <c r="L1519" s="99"/>
      <c r="M1519" s="75">
        <f>M1520</f>
        <v>12100</v>
      </c>
      <c r="N1519" s="75">
        <f>N1520</f>
        <v>11815</v>
      </c>
      <c r="O1519" s="189">
        <f t="shared" si="129"/>
        <v>97.64462809917356</v>
      </c>
      <c r="P1519" s="99"/>
      <c r="Q1519" s="75">
        <f t="shared" si="125"/>
        <v>12100</v>
      </c>
      <c r="R1519" s="75">
        <f t="shared" si="126"/>
        <v>11815</v>
      </c>
      <c r="S1519" s="188">
        <f t="shared" si="127"/>
        <v>97.64462809917356</v>
      </c>
    </row>
    <row r="1520" spans="2:19" ht="12.75">
      <c r="B1520" s="25">
        <f t="shared" si="128"/>
        <v>25</v>
      </c>
      <c r="C1520" s="9"/>
      <c r="D1520" s="9"/>
      <c r="E1520" s="9"/>
      <c r="F1520" s="33"/>
      <c r="G1520" s="42"/>
      <c r="H1520" s="5" t="s">
        <v>520</v>
      </c>
      <c r="I1520" s="75"/>
      <c r="J1520" s="75"/>
      <c r="K1520" s="190"/>
      <c r="L1520" s="99"/>
      <c r="M1520" s="75">
        <f>10600+1500</f>
        <v>12100</v>
      </c>
      <c r="N1520" s="75">
        <v>11815</v>
      </c>
      <c r="O1520" s="189">
        <f t="shared" si="129"/>
        <v>97.64462809917356</v>
      </c>
      <c r="P1520" s="99"/>
      <c r="Q1520" s="75">
        <f t="shared" si="125"/>
        <v>12100</v>
      </c>
      <c r="R1520" s="75">
        <f t="shared" si="126"/>
        <v>11815</v>
      </c>
      <c r="S1520" s="188">
        <f t="shared" si="127"/>
        <v>97.64462809917356</v>
      </c>
    </row>
    <row r="1521" spans="2:19" ht="12.75">
      <c r="B1521" s="25">
        <f t="shared" si="128"/>
        <v>26</v>
      </c>
      <c r="C1521" s="4"/>
      <c r="D1521" s="4"/>
      <c r="E1521" s="4"/>
      <c r="F1521" s="32" t="s">
        <v>73</v>
      </c>
      <c r="G1521" s="41">
        <v>717</v>
      </c>
      <c r="H1521" s="4" t="s">
        <v>190</v>
      </c>
      <c r="I1521" s="71"/>
      <c r="J1521" s="71"/>
      <c r="K1521" s="190"/>
      <c r="L1521" s="178"/>
      <c r="M1521" s="71">
        <f>SUM(M1522:M1523)</f>
        <v>175900</v>
      </c>
      <c r="N1521" s="71">
        <f>SUM(N1522:N1523)</f>
        <v>0</v>
      </c>
      <c r="O1521" s="189">
        <f t="shared" si="129"/>
        <v>0</v>
      </c>
      <c r="P1521" s="178"/>
      <c r="Q1521" s="71">
        <f t="shared" si="125"/>
        <v>175900</v>
      </c>
      <c r="R1521" s="71">
        <f t="shared" si="126"/>
        <v>0</v>
      </c>
      <c r="S1521" s="188">
        <f t="shared" si="127"/>
        <v>0</v>
      </c>
    </row>
    <row r="1522" spans="2:19" ht="12.75">
      <c r="B1522" s="25">
        <f t="shared" si="128"/>
        <v>27</v>
      </c>
      <c r="C1522" s="5"/>
      <c r="D1522" s="5"/>
      <c r="E1522" s="5"/>
      <c r="F1522" s="33"/>
      <c r="G1522" s="42"/>
      <c r="H1522" s="5" t="s">
        <v>471</v>
      </c>
      <c r="I1522" s="75"/>
      <c r="J1522" s="75"/>
      <c r="K1522" s="190"/>
      <c r="L1522" s="99"/>
      <c r="M1522" s="75">
        <f>173000-10600-1500</f>
        <v>160900</v>
      </c>
      <c r="N1522" s="75">
        <v>0</v>
      </c>
      <c r="O1522" s="189">
        <f t="shared" si="129"/>
        <v>0</v>
      </c>
      <c r="P1522" s="99"/>
      <c r="Q1522" s="75">
        <f t="shared" si="125"/>
        <v>160900</v>
      </c>
      <c r="R1522" s="75">
        <f t="shared" si="126"/>
        <v>0</v>
      </c>
      <c r="S1522" s="188">
        <f t="shared" si="127"/>
        <v>0</v>
      </c>
    </row>
    <row r="1523" spans="2:19" ht="12.75">
      <c r="B1523" s="25">
        <f t="shared" si="128"/>
        <v>28</v>
      </c>
      <c r="C1523" s="5"/>
      <c r="D1523" s="5"/>
      <c r="E1523" s="5"/>
      <c r="F1523" s="33"/>
      <c r="G1523" s="42"/>
      <c r="H1523" s="5" t="s">
        <v>445</v>
      </c>
      <c r="I1523" s="75"/>
      <c r="J1523" s="75"/>
      <c r="K1523" s="190"/>
      <c r="L1523" s="99"/>
      <c r="M1523" s="75">
        <v>15000</v>
      </c>
      <c r="N1523" s="75">
        <v>0</v>
      </c>
      <c r="O1523" s="189">
        <f t="shared" si="129"/>
        <v>0</v>
      </c>
      <c r="P1523" s="99"/>
      <c r="Q1523" s="75">
        <f t="shared" si="125"/>
        <v>15000</v>
      </c>
      <c r="R1523" s="75">
        <f t="shared" si="126"/>
        <v>0</v>
      </c>
      <c r="S1523" s="188">
        <f t="shared" si="127"/>
        <v>0</v>
      </c>
    </row>
    <row r="1524" spans="2:19" ht="15">
      <c r="B1524" s="25">
        <f t="shared" si="128"/>
        <v>29</v>
      </c>
      <c r="C1524" s="7">
        <v>4</v>
      </c>
      <c r="D1524" s="277" t="s">
        <v>3</v>
      </c>
      <c r="E1524" s="278"/>
      <c r="F1524" s="278"/>
      <c r="G1524" s="278"/>
      <c r="H1524" s="279"/>
      <c r="I1524" s="79">
        <v>0</v>
      </c>
      <c r="J1524" s="79">
        <v>0</v>
      </c>
      <c r="K1524" s="190"/>
      <c r="L1524" s="175"/>
      <c r="M1524" s="79">
        <f>M1525</f>
        <v>18320</v>
      </c>
      <c r="N1524" s="79">
        <f>N1525</f>
        <v>0</v>
      </c>
      <c r="O1524" s="189">
        <f t="shared" si="129"/>
        <v>0</v>
      </c>
      <c r="P1524" s="175"/>
      <c r="Q1524" s="79">
        <f t="shared" si="125"/>
        <v>18320</v>
      </c>
      <c r="R1524" s="79">
        <f t="shared" si="126"/>
        <v>0</v>
      </c>
      <c r="S1524" s="188">
        <f t="shared" si="127"/>
        <v>0</v>
      </c>
    </row>
    <row r="1525" spans="2:19" ht="12.75">
      <c r="B1525" s="25">
        <f t="shared" si="128"/>
        <v>30</v>
      </c>
      <c r="C1525" s="9"/>
      <c r="D1525" s="9"/>
      <c r="E1525" s="9"/>
      <c r="F1525" s="31" t="s">
        <v>73</v>
      </c>
      <c r="G1525" s="40">
        <v>710</v>
      </c>
      <c r="H1525" s="9" t="s">
        <v>180</v>
      </c>
      <c r="I1525" s="72"/>
      <c r="J1525" s="72"/>
      <c r="K1525" s="190"/>
      <c r="L1525" s="177"/>
      <c r="M1525" s="72">
        <f>M1526</f>
        <v>18320</v>
      </c>
      <c r="N1525" s="72">
        <f>N1526</f>
        <v>0</v>
      </c>
      <c r="O1525" s="189">
        <f t="shared" si="129"/>
        <v>0</v>
      </c>
      <c r="P1525" s="177"/>
      <c r="Q1525" s="72">
        <f t="shared" si="125"/>
        <v>18320</v>
      </c>
      <c r="R1525" s="72">
        <f t="shared" si="126"/>
        <v>0</v>
      </c>
      <c r="S1525" s="188">
        <f t="shared" si="127"/>
        <v>0</v>
      </c>
    </row>
    <row r="1526" spans="2:19" ht="12.75">
      <c r="B1526" s="25">
        <f t="shared" si="128"/>
        <v>31</v>
      </c>
      <c r="C1526" s="4"/>
      <c r="D1526" s="4"/>
      <c r="E1526" s="4"/>
      <c r="F1526" s="32" t="s">
        <v>73</v>
      </c>
      <c r="G1526" s="41">
        <v>717</v>
      </c>
      <c r="H1526" s="4" t="s">
        <v>190</v>
      </c>
      <c r="I1526" s="71"/>
      <c r="J1526" s="71"/>
      <c r="K1526" s="190"/>
      <c r="L1526" s="178"/>
      <c r="M1526" s="71">
        <v>18320</v>
      </c>
      <c r="N1526" s="71">
        <v>0</v>
      </c>
      <c r="O1526" s="189">
        <f t="shared" si="129"/>
        <v>0</v>
      </c>
      <c r="P1526" s="178"/>
      <c r="Q1526" s="71">
        <f t="shared" si="125"/>
        <v>18320</v>
      </c>
      <c r="R1526" s="71">
        <f t="shared" si="126"/>
        <v>0</v>
      </c>
      <c r="S1526" s="188">
        <f t="shared" si="127"/>
        <v>0</v>
      </c>
    </row>
    <row r="1543" spans="2:17" ht="27.75" thickBot="1">
      <c r="B1543" s="287" t="s">
        <v>27</v>
      </c>
      <c r="C1543" s="288"/>
      <c r="D1543" s="288"/>
      <c r="E1543" s="288"/>
      <c r="F1543" s="288"/>
      <c r="G1543" s="288"/>
      <c r="H1543" s="288"/>
      <c r="I1543" s="288"/>
      <c r="J1543" s="288"/>
      <c r="K1543" s="288"/>
      <c r="L1543" s="288"/>
      <c r="M1543" s="288"/>
      <c r="N1543" s="288"/>
      <c r="O1543" s="288"/>
      <c r="P1543" s="288"/>
      <c r="Q1543" s="288"/>
    </row>
    <row r="1544" spans="2:19" ht="12.75" customHeight="1" thickBot="1">
      <c r="B1544" s="269" t="s">
        <v>309</v>
      </c>
      <c r="C1544" s="269"/>
      <c r="D1544" s="269"/>
      <c r="E1544" s="269"/>
      <c r="F1544" s="269"/>
      <c r="G1544" s="269"/>
      <c r="H1544" s="269"/>
      <c r="I1544" s="269"/>
      <c r="J1544" s="269"/>
      <c r="K1544" s="269"/>
      <c r="L1544" s="269"/>
      <c r="M1544" s="269"/>
      <c r="N1544" s="269"/>
      <c r="O1544" s="269"/>
      <c r="P1544" s="170"/>
      <c r="Q1544" s="274" t="s">
        <v>515</v>
      </c>
      <c r="R1544" s="265" t="s">
        <v>569</v>
      </c>
      <c r="S1544" s="266" t="s">
        <v>564</v>
      </c>
    </row>
    <row r="1545" spans="2:19" ht="12.75" customHeight="1" thickBot="1">
      <c r="B1545" s="275"/>
      <c r="C1545" s="273" t="s">
        <v>118</v>
      </c>
      <c r="D1545" s="273" t="s">
        <v>119</v>
      </c>
      <c r="E1545" s="276"/>
      <c r="F1545" s="273" t="s">
        <v>120</v>
      </c>
      <c r="G1545" s="270" t="s">
        <v>121</v>
      </c>
      <c r="H1545" s="271" t="s">
        <v>122</v>
      </c>
      <c r="I1545" s="267" t="s">
        <v>565</v>
      </c>
      <c r="J1545" s="267" t="s">
        <v>566</v>
      </c>
      <c r="K1545" s="268" t="s">
        <v>564</v>
      </c>
      <c r="L1545" s="168"/>
      <c r="M1545" s="272" t="s">
        <v>567</v>
      </c>
      <c r="N1545" s="267" t="s">
        <v>568</v>
      </c>
      <c r="O1545" s="268" t="s">
        <v>564</v>
      </c>
      <c r="P1545" s="171"/>
      <c r="Q1545" s="274"/>
      <c r="R1545" s="265"/>
      <c r="S1545" s="266"/>
    </row>
    <row r="1546" spans="2:19" ht="13.5" thickBot="1">
      <c r="B1546" s="275"/>
      <c r="C1546" s="273"/>
      <c r="D1546" s="273"/>
      <c r="E1546" s="276"/>
      <c r="F1546" s="273"/>
      <c r="G1546" s="270"/>
      <c r="H1546" s="271"/>
      <c r="I1546" s="267"/>
      <c r="J1546" s="267"/>
      <c r="K1546" s="268"/>
      <c r="L1546" s="168"/>
      <c r="M1546" s="272"/>
      <c r="N1546" s="267"/>
      <c r="O1546" s="268"/>
      <c r="P1546" s="171"/>
      <c r="Q1546" s="274"/>
      <c r="R1546" s="265"/>
      <c r="S1546" s="266"/>
    </row>
    <row r="1547" spans="2:19" ht="13.5" thickBot="1">
      <c r="B1547" s="275"/>
      <c r="C1547" s="273"/>
      <c r="D1547" s="273"/>
      <c r="E1547" s="276"/>
      <c r="F1547" s="273"/>
      <c r="G1547" s="270"/>
      <c r="H1547" s="271"/>
      <c r="I1547" s="267"/>
      <c r="J1547" s="267"/>
      <c r="K1547" s="268"/>
      <c r="L1547" s="168"/>
      <c r="M1547" s="272"/>
      <c r="N1547" s="267"/>
      <c r="O1547" s="268"/>
      <c r="P1547" s="171"/>
      <c r="Q1547" s="274"/>
      <c r="R1547" s="265"/>
      <c r="S1547" s="266"/>
    </row>
    <row r="1548" spans="2:19" ht="13.5" thickBot="1">
      <c r="B1548" s="275"/>
      <c r="C1548" s="273"/>
      <c r="D1548" s="273"/>
      <c r="E1548" s="276"/>
      <c r="F1548" s="273"/>
      <c r="G1548" s="270"/>
      <c r="H1548" s="271"/>
      <c r="I1548" s="267"/>
      <c r="J1548" s="267"/>
      <c r="K1548" s="268"/>
      <c r="L1548" s="169"/>
      <c r="M1548" s="272"/>
      <c r="N1548" s="267"/>
      <c r="O1548" s="268"/>
      <c r="P1548" s="171"/>
      <c r="Q1548" s="274"/>
      <c r="R1548" s="265"/>
      <c r="S1548" s="266"/>
    </row>
    <row r="1549" spans="2:19" ht="16.5" thickTop="1">
      <c r="B1549" s="28">
        <v>1</v>
      </c>
      <c r="C1549" s="281" t="s">
        <v>27</v>
      </c>
      <c r="D1549" s="285"/>
      <c r="E1549" s="285"/>
      <c r="F1549" s="285"/>
      <c r="G1549" s="285"/>
      <c r="H1549" s="286"/>
      <c r="I1549" s="81">
        <f>I1550+I1590+I1608+I1626+I1630+I1637</f>
        <v>4681465</v>
      </c>
      <c r="J1549" s="81">
        <f>J1550+J1590+J1608+J1626+J1630+J1637</f>
        <v>1311696</v>
      </c>
      <c r="K1549" s="189">
        <f>J1549/I1549*100</f>
        <v>28.018921427373694</v>
      </c>
      <c r="L1549" s="179"/>
      <c r="M1549" s="81">
        <f>M1550+M1590+M1608+M1626+M1630+M1637</f>
        <v>1269462</v>
      </c>
      <c r="N1549" s="81">
        <f>N1550+N1590+N1608+N1626+N1630+N1637</f>
        <v>126418</v>
      </c>
      <c r="O1549" s="189">
        <f>N1549/M1549*100</f>
        <v>9.958391822677639</v>
      </c>
      <c r="P1549" s="179"/>
      <c r="Q1549" s="81">
        <f>I1549+M1549</f>
        <v>5950927</v>
      </c>
      <c r="R1549" s="81">
        <f>J1549+N1549</f>
        <v>1438114</v>
      </c>
      <c r="S1549" s="188">
        <f aca="true" t="shared" si="130" ref="S1549:S1612">R1549/Q1549*100</f>
        <v>24.166218137107045</v>
      </c>
    </row>
    <row r="1550" spans="2:19" ht="15">
      <c r="B1550" s="28">
        <f>B1549+1</f>
        <v>2</v>
      </c>
      <c r="C1550" s="7">
        <v>1</v>
      </c>
      <c r="D1550" s="277" t="s">
        <v>201</v>
      </c>
      <c r="E1550" s="278"/>
      <c r="F1550" s="278"/>
      <c r="G1550" s="278"/>
      <c r="H1550" s="279"/>
      <c r="I1550" s="79">
        <f>I1561</f>
        <v>1612890</v>
      </c>
      <c r="J1550" s="79">
        <f>J1561</f>
        <v>249610</v>
      </c>
      <c r="K1550" s="190">
        <f>J1550/I1550*100</f>
        <v>15.475946902764603</v>
      </c>
      <c r="L1550" s="175"/>
      <c r="M1550" s="79">
        <f>M1551+M1561</f>
        <v>823801</v>
      </c>
      <c r="N1550" s="79">
        <f>N1551+N1561</f>
        <v>65766</v>
      </c>
      <c r="O1550" s="189">
        <f aca="true" t="shared" si="131" ref="O1550:O1608">N1550/M1550*100</f>
        <v>7.9832386705041625</v>
      </c>
      <c r="P1550" s="175"/>
      <c r="Q1550" s="79">
        <f>I1550+M1550</f>
        <v>2436691</v>
      </c>
      <c r="R1550" s="79">
        <f>J1550+N1550</f>
        <v>315376</v>
      </c>
      <c r="S1550" s="188">
        <f t="shared" si="130"/>
        <v>12.942798245653634</v>
      </c>
    </row>
    <row r="1551" spans="2:19" ht="12.75">
      <c r="B1551" s="28">
        <f>B1550+1</f>
        <v>3</v>
      </c>
      <c r="C1551" s="9"/>
      <c r="D1551" s="9"/>
      <c r="E1551" s="9"/>
      <c r="F1551" s="31" t="s">
        <v>200</v>
      </c>
      <c r="G1551" s="40">
        <v>710</v>
      </c>
      <c r="H1551" s="9" t="s">
        <v>180</v>
      </c>
      <c r="I1551" s="72"/>
      <c r="J1551" s="72"/>
      <c r="K1551" s="215"/>
      <c r="L1551" s="177"/>
      <c r="M1551" s="72">
        <f>M1552+M1559</f>
        <v>778481</v>
      </c>
      <c r="N1551" s="72">
        <f>N1552+N1559</f>
        <v>20454</v>
      </c>
      <c r="O1551" s="189">
        <f t="shared" si="131"/>
        <v>2.627424432966251</v>
      </c>
      <c r="P1551" s="177"/>
      <c r="Q1551" s="72">
        <f aca="true" t="shared" si="132" ref="Q1551:Q1559">M1551+I1551</f>
        <v>778481</v>
      </c>
      <c r="R1551" s="72">
        <f aca="true" t="shared" si="133" ref="R1551:R1559">N1551+J1551</f>
        <v>20454</v>
      </c>
      <c r="S1551" s="188">
        <f t="shared" si="130"/>
        <v>2.627424432966251</v>
      </c>
    </row>
    <row r="1552" spans="2:19" ht="12.75">
      <c r="B1552" s="28">
        <f aca="true" t="shared" si="134" ref="B1552:B1615">B1551+1</f>
        <v>4</v>
      </c>
      <c r="C1552" s="4"/>
      <c r="D1552" s="4"/>
      <c r="E1552" s="4"/>
      <c r="F1552" s="32" t="s">
        <v>200</v>
      </c>
      <c r="G1552" s="41">
        <v>716</v>
      </c>
      <c r="H1552" s="4" t="s">
        <v>225</v>
      </c>
      <c r="I1552" s="71"/>
      <c r="J1552" s="71"/>
      <c r="K1552" s="213"/>
      <c r="L1552" s="178"/>
      <c r="M1552" s="71">
        <f>SUM(M1553:M1558)</f>
        <v>270481</v>
      </c>
      <c r="N1552" s="71">
        <f>SUM(N1553:N1558)</f>
        <v>20165</v>
      </c>
      <c r="O1552" s="189">
        <f t="shared" si="131"/>
        <v>7.455237151592903</v>
      </c>
      <c r="P1552" s="178"/>
      <c r="Q1552" s="71">
        <f t="shared" si="132"/>
        <v>270481</v>
      </c>
      <c r="R1552" s="71">
        <f t="shared" si="133"/>
        <v>20165</v>
      </c>
      <c r="S1552" s="188">
        <f t="shared" si="130"/>
        <v>7.455237151592903</v>
      </c>
    </row>
    <row r="1553" spans="2:19" ht="12.75">
      <c r="B1553" s="28">
        <f t="shared" si="134"/>
        <v>5</v>
      </c>
      <c r="C1553" s="5"/>
      <c r="D1553" s="5"/>
      <c r="E1553" s="5"/>
      <c r="F1553" s="33"/>
      <c r="G1553" s="42"/>
      <c r="H1553" s="5" t="s">
        <v>289</v>
      </c>
      <c r="I1553" s="75"/>
      <c r="J1553" s="75"/>
      <c r="K1553" s="213"/>
      <c r="L1553" s="99"/>
      <c r="M1553" s="75">
        <v>29500</v>
      </c>
      <c r="N1553" s="75">
        <v>0</v>
      </c>
      <c r="O1553" s="189">
        <f t="shared" si="131"/>
        <v>0</v>
      </c>
      <c r="P1553" s="99"/>
      <c r="Q1553" s="75">
        <f t="shared" si="132"/>
        <v>29500</v>
      </c>
      <c r="R1553" s="75">
        <f t="shared" si="133"/>
        <v>0</v>
      </c>
      <c r="S1553" s="188">
        <f t="shared" si="130"/>
        <v>0</v>
      </c>
    </row>
    <row r="1554" spans="2:19" ht="12.75">
      <c r="B1554" s="28">
        <f t="shared" si="134"/>
        <v>6</v>
      </c>
      <c r="C1554" s="5"/>
      <c r="D1554" s="5"/>
      <c r="E1554" s="5"/>
      <c r="F1554" s="33"/>
      <c r="G1554" s="42"/>
      <c r="H1554" s="5" t="s">
        <v>525</v>
      </c>
      <c r="I1554" s="75"/>
      <c r="J1554" s="75"/>
      <c r="K1554" s="213"/>
      <c r="L1554" s="99"/>
      <c r="M1554" s="75">
        <f>4500+700</f>
        <v>5200</v>
      </c>
      <c r="N1554" s="75">
        <v>4500</v>
      </c>
      <c r="O1554" s="189">
        <f t="shared" si="131"/>
        <v>86.53846153846155</v>
      </c>
      <c r="P1554" s="99"/>
      <c r="Q1554" s="75">
        <f t="shared" si="132"/>
        <v>5200</v>
      </c>
      <c r="R1554" s="75">
        <f t="shared" si="133"/>
        <v>4500</v>
      </c>
      <c r="S1554" s="188">
        <f t="shared" si="130"/>
        <v>86.53846153846155</v>
      </c>
    </row>
    <row r="1555" spans="2:19" ht="12.75">
      <c r="B1555" s="28">
        <f t="shared" si="134"/>
        <v>7</v>
      </c>
      <c r="C1555" s="5"/>
      <c r="D1555" s="5"/>
      <c r="E1555" s="5"/>
      <c r="F1555" s="33"/>
      <c r="G1555" s="42"/>
      <c r="H1555" s="5" t="s">
        <v>308</v>
      </c>
      <c r="I1555" s="75"/>
      <c r="J1555" s="75"/>
      <c r="K1555" s="213"/>
      <c r="L1555" s="99"/>
      <c r="M1555" s="75">
        <v>170400</v>
      </c>
      <c r="N1555" s="75">
        <v>0</v>
      </c>
      <c r="O1555" s="189">
        <f t="shared" si="131"/>
        <v>0</v>
      </c>
      <c r="P1555" s="99"/>
      <c r="Q1555" s="75">
        <f t="shared" si="132"/>
        <v>170400</v>
      </c>
      <c r="R1555" s="75">
        <f t="shared" si="133"/>
        <v>0</v>
      </c>
      <c r="S1555" s="188">
        <f t="shared" si="130"/>
        <v>0</v>
      </c>
    </row>
    <row r="1556" spans="2:19" ht="12.75">
      <c r="B1556" s="28">
        <f t="shared" si="134"/>
        <v>8</v>
      </c>
      <c r="C1556" s="5"/>
      <c r="D1556" s="5"/>
      <c r="E1556" s="5"/>
      <c r="F1556" s="33"/>
      <c r="G1556" s="42"/>
      <c r="H1556" s="5" t="s">
        <v>474</v>
      </c>
      <c r="I1556" s="75"/>
      <c r="J1556" s="75"/>
      <c r="K1556" s="213"/>
      <c r="L1556" s="99"/>
      <c r="M1556" s="75">
        <f>144000-90600-51519</f>
        <v>1881</v>
      </c>
      <c r="N1556" s="75">
        <v>1881</v>
      </c>
      <c r="O1556" s="189">
        <f t="shared" si="131"/>
        <v>100</v>
      </c>
      <c r="P1556" s="99"/>
      <c r="Q1556" s="75">
        <f t="shared" si="132"/>
        <v>1881</v>
      </c>
      <c r="R1556" s="75">
        <f t="shared" si="133"/>
        <v>1881</v>
      </c>
      <c r="S1556" s="188">
        <f t="shared" si="130"/>
        <v>100</v>
      </c>
    </row>
    <row r="1557" spans="2:19" ht="12.75">
      <c r="B1557" s="28">
        <f t="shared" si="134"/>
        <v>9</v>
      </c>
      <c r="C1557" s="5"/>
      <c r="D1557" s="5"/>
      <c r="E1557" s="5"/>
      <c r="F1557" s="33"/>
      <c r="G1557" s="42"/>
      <c r="H1557" s="5" t="s">
        <v>475</v>
      </c>
      <c r="I1557" s="75"/>
      <c r="J1557" s="75"/>
      <c r="K1557" s="213"/>
      <c r="L1557" s="99"/>
      <c r="M1557" s="75">
        <v>50000</v>
      </c>
      <c r="N1557" s="75">
        <v>1284</v>
      </c>
      <c r="O1557" s="189">
        <f t="shared" si="131"/>
        <v>2.568</v>
      </c>
      <c r="P1557" s="99"/>
      <c r="Q1557" s="75">
        <f t="shared" si="132"/>
        <v>50000</v>
      </c>
      <c r="R1557" s="75">
        <f t="shared" si="133"/>
        <v>1284</v>
      </c>
      <c r="S1557" s="188">
        <f t="shared" si="130"/>
        <v>2.568</v>
      </c>
    </row>
    <row r="1558" spans="2:19" ht="12.75">
      <c r="B1558" s="28">
        <f t="shared" si="134"/>
        <v>10</v>
      </c>
      <c r="C1558" s="5"/>
      <c r="D1558" s="5"/>
      <c r="E1558" s="5"/>
      <c r="F1558" s="33"/>
      <c r="G1558" s="42"/>
      <c r="H1558" s="5" t="s">
        <v>448</v>
      </c>
      <c r="I1558" s="75"/>
      <c r="J1558" s="75"/>
      <c r="K1558" s="213"/>
      <c r="L1558" s="99"/>
      <c r="M1558" s="75">
        <v>13500</v>
      </c>
      <c r="N1558" s="75">
        <v>12500</v>
      </c>
      <c r="O1558" s="189">
        <f t="shared" si="131"/>
        <v>92.5925925925926</v>
      </c>
      <c r="P1558" s="99"/>
      <c r="Q1558" s="75">
        <f t="shared" si="132"/>
        <v>13500</v>
      </c>
      <c r="R1558" s="75">
        <f t="shared" si="133"/>
        <v>12500</v>
      </c>
      <c r="S1558" s="188">
        <f t="shared" si="130"/>
        <v>92.5925925925926</v>
      </c>
    </row>
    <row r="1559" spans="2:19" ht="12.75">
      <c r="B1559" s="28">
        <f t="shared" si="134"/>
        <v>11</v>
      </c>
      <c r="C1559" s="4"/>
      <c r="D1559" s="4"/>
      <c r="E1559" s="4"/>
      <c r="F1559" s="32" t="s">
        <v>200</v>
      </c>
      <c r="G1559" s="41">
        <v>717</v>
      </c>
      <c r="H1559" s="4" t="s">
        <v>190</v>
      </c>
      <c r="I1559" s="71"/>
      <c r="J1559" s="71"/>
      <c r="K1559" s="213"/>
      <c r="L1559" s="178"/>
      <c r="M1559" s="71">
        <f>SUM(M1560:M1560)</f>
        <v>508000</v>
      </c>
      <c r="N1559" s="71">
        <f>SUM(N1560:N1560)</f>
        <v>289</v>
      </c>
      <c r="O1559" s="189">
        <f t="shared" si="131"/>
        <v>0.056889763779527563</v>
      </c>
      <c r="P1559" s="178"/>
      <c r="Q1559" s="71">
        <f t="shared" si="132"/>
        <v>508000</v>
      </c>
      <c r="R1559" s="71">
        <f t="shared" si="133"/>
        <v>289</v>
      </c>
      <c r="S1559" s="188">
        <f t="shared" si="130"/>
        <v>0.056889763779527563</v>
      </c>
    </row>
    <row r="1560" spans="2:19" ht="12.75">
      <c r="B1560" s="28">
        <f t="shared" si="134"/>
        <v>12</v>
      </c>
      <c r="C1560" s="5"/>
      <c r="D1560" s="5"/>
      <c r="E1560" s="5"/>
      <c r="F1560" s="33"/>
      <c r="G1560" s="42"/>
      <c r="H1560" s="39" t="s">
        <v>441</v>
      </c>
      <c r="I1560" s="75"/>
      <c r="J1560" s="75"/>
      <c r="K1560" s="213"/>
      <c r="L1560" s="99"/>
      <c r="M1560" s="75">
        <v>508000</v>
      </c>
      <c r="N1560" s="75">
        <v>289</v>
      </c>
      <c r="O1560" s="189">
        <f t="shared" si="131"/>
        <v>0.056889763779527563</v>
      </c>
      <c r="P1560" s="99"/>
      <c r="Q1560" s="75">
        <f>M1560</f>
        <v>508000</v>
      </c>
      <c r="R1560" s="75">
        <f>N1560</f>
        <v>289</v>
      </c>
      <c r="S1560" s="188">
        <f t="shared" si="130"/>
        <v>0.056889763779527563</v>
      </c>
    </row>
    <row r="1561" spans="2:19" ht="15">
      <c r="B1561" s="28">
        <f t="shared" si="134"/>
        <v>13</v>
      </c>
      <c r="C1561" s="12"/>
      <c r="D1561" s="12"/>
      <c r="E1561" s="12">
        <v>2</v>
      </c>
      <c r="F1561" s="35"/>
      <c r="G1561" s="43"/>
      <c r="H1561" s="12" t="s">
        <v>15</v>
      </c>
      <c r="I1561" s="82">
        <f>I1562+I1575</f>
        <v>1612890</v>
      </c>
      <c r="J1561" s="82">
        <f>J1562+J1575</f>
        <v>249610</v>
      </c>
      <c r="K1561" s="216">
        <f aca="true" t="shared" si="135" ref="K1561:K1614">J1561/I1561*100</f>
        <v>15.475946902764603</v>
      </c>
      <c r="L1561" s="182"/>
      <c r="M1561" s="82">
        <f>M1562+M1575</f>
        <v>45320</v>
      </c>
      <c r="N1561" s="82">
        <f>N1562+N1575</f>
        <v>45312</v>
      </c>
      <c r="O1561" s="189">
        <f t="shared" si="131"/>
        <v>99.98234774933805</v>
      </c>
      <c r="P1561" s="182"/>
      <c r="Q1561" s="82">
        <f aca="true" t="shared" si="136" ref="Q1561:Q1623">M1561+I1561</f>
        <v>1658210</v>
      </c>
      <c r="R1561" s="82">
        <f aca="true" t="shared" si="137" ref="R1561:R1623">N1561+J1561</f>
        <v>294922</v>
      </c>
      <c r="S1561" s="188">
        <f t="shared" si="130"/>
        <v>17.78556395148986</v>
      </c>
    </row>
    <row r="1562" spans="2:19" ht="12.75">
      <c r="B1562" s="28">
        <f t="shared" si="134"/>
        <v>14</v>
      </c>
      <c r="C1562" s="8"/>
      <c r="D1562" s="8"/>
      <c r="E1562" s="8"/>
      <c r="F1562" s="37"/>
      <c r="G1562" s="45"/>
      <c r="H1562" s="8" t="s">
        <v>385</v>
      </c>
      <c r="I1562" s="85">
        <f>I1563+I1564+I1565+I1574</f>
        <v>280080</v>
      </c>
      <c r="J1562" s="85">
        <f>J1563+J1564+J1565+J1574</f>
        <v>92173</v>
      </c>
      <c r="K1562" s="217">
        <f t="shared" si="135"/>
        <v>32.90952584975721</v>
      </c>
      <c r="L1562" s="177"/>
      <c r="M1562" s="85"/>
      <c r="N1562" s="85"/>
      <c r="O1562" s="189"/>
      <c r="P1562" s="177"/>
      <c r="Q1562" s="85">
        <f t="shared" si="136"/>
        <v>280080</v>
      </c>
      <c r="R1562" s="85">
        <f t="shared" si="137"/>
        <v>92173</v>
      </c>
      <c r="S1562" s="188">
        <f t="shared" si="130"/>
        <v>32.90952584975721</v>
      </c>
    </row>
    <row r="1563" spans="2:19" ht="12.75">
      <c r="B1563" s="28">
        <f t="shared" si="134"/>
        <v>15</v>
      </c>
      <c r="C1563" s="9"/>
      <c r="D1563" s="9"/>
      <c r="E1563" s="9"/>
      <c r="F1563" s="31" t="s">
        <v>240</v>
      </c>
      <c r="G1563" s="40">
        <v>610</v>
      </c>
      <c r="H1563" s="9" t="s">
        <v>134</v>
      </c>
      <c r="I1563" s="72">
        <v>102755</v>
      </c>
      <c r="J1563" s="72">
        <f>24030+12700</f>
        <v>36730</v>
      </c>
      <c r="K1563" s="215">
        <f t="shared" si="135"/>
        <v>35.745219210744</v>
      </c>
      <c r="L1563" s="177"/>
      <c r="M1563" s="72"/>
      <c r="N1563" s="72"/>
      <c r="O1563" s="189"/>
      <c r="P1563" s="177"/>
      <c r="Q1563" s="72">
        <f t="shared" si="136"/>
        <v>102755</v>
      </c>
      <c r="R1563" s="72">
        <f t="shared" si="137"/>
        <v>36730</v>
      </c>
      <c r="S1563" s="188">
        <f t="shared" si="130"/>
        <v>35.745219210744</v>
      </c>
    </row>
    <row r="1564" spans="2:19" ht="12.75">
      <c r="B1564" s="28">
        <f t="shared" si="134"/>
        <v>16</v>
      </c>
      <c r="C1564" s="9"/>
      <c r="D1564" s="9"/>
      <c r="E1564" s="9"/>
      <c r="F1564" s="31" t="s">
        <v>240</v>
      </c>
      <c r="G1564" s="40">
        <v>620</v>
      </c>
      <c r="H1564" s="9" t="s">
        <v>128</v>
      </c>
      <c r="I1564" s="72">
        <v>36650</v>
      </c>
      <c r="J1564" s="72">
        <f>7789+3943</f>
        <v>11732</v>
      </c>
      <c r="K1564" s="215">
        <f t="shared" si="135"/>
        <v>32.01091405184175</v>
      </c>
      <c r="L1564" s="177"/>
      <c r="M1564" s="72"/>
      <c r="N1564" s="72"/>
      <c r="O1564" s="189"/>
      <c r="P1564" s="177"/>
      <c r="Q1564" s="72">
        <f t="shared" si="136"/>
        <v>36650</v>
      </c>
      <c r="R1564" s="72">
        <f t="shared" si="137"/>
        <v>11732</v>
      </c>
      <c r="S1564" s="188">
        <f t="shared" si="130"/>
        <v>32.01091405184175</v>
      </c>
    </row>
    <row r="1565" spans="2:19" ht="12.75">
      <c r="B1565" s="28">
        <f t="shared" si="134"/>
        <v>17</v>
      </c>
      <c r="C1565" s="9"/>
      <c r="D1565" s="9"/>
      <c r="E1565" s="9"/>
      <c r="F1565" s="31" t="s">
        <v>240</v>
      </c>
      <c r="G1565" s="40">
        <v>630</v>
      </c>
      <c r="H1565" s="9" t="s">
        <v>125</v>
      </c>
      <c r="I1565" s="72">
        <f>SUM(I1566:I1573)</f>
        <v>139475</v>
      </c>
      <c r="J1565" s="72">
        <f>SUM(J1566:J1573)</f>
        <v>43392</v>
      </c>
      <c r="K1565" s="215">
        <f t="shared" si="135"/>
        <v>31.110951783473737</v>
      </c>
      <c r="L1565" s="177"/>
      <c r="M1565" s="72"/>
      <c r="N1565" s="72"/>
      <c r="O1565" s="189"/>
      <c r="P1565" s="177"/>
      <c r="Q1565" s="72">
        <f t="shared" si="136"/>
        <v>139475</v>
      </c>
      <c r="R1565" s="72">
        <f t="shared" si="137"/>
        <v>43392</v>
      </c>
      <c r="S1565" s="188">
        <f t="shared" si="130"/>
        <v>31.110951783473737</v>
      </c>
    </row>
    <row r="1566" spans="2:19" ht="12.75">
      <c r="B1566" s="28">
        <f t="shared" si="134"/>
        <v>18</v>
      </c>
      <c r="C1566" s="4"/>
      <c r="D1566" s="4"/>
      <c r="E1566" s="4"/>
      <c r="F1566" s="32" t="s">
        <v>240</v>
      </c>
      <c r="G1566" s="41">
        <v>631</v>
      </c>
      <c r="H1566" s="4" t="s">
        <v>131</v>
      </c>
      <c r="I1566" s="71">
        <v>100</v>
      </c>
      <c r="J1566" s="71">
        <v>0</v>
      </c>
      <c r="K1566" s="213">
        <f t="shared" si="135"/>
        <v>0</v>
      </c>
      <c r="L1566" s="178"/>
      <c r="M1566" s="71"/>
      <c r="N1566" s="71"/>
      <c r="O1566" s="189"/>
      <c r="P1566" s="178"/>
      <c r="Q1566" s="71">
        <f t="shared" si="136"/>
        <v>100</v>
      </c>
      <c r="R1566" s="71">
        <f t="shared" si="137"/>
        <v>0</v>
      </c>
      <c r="S1566" s="188">
        <f t="shared" si="130"/>
        <v>0</v>
      </c>
    </row>
    <row r="1567" spans="2:19" ht="12.75">
      <c r="B1567" s="28">
        <f t="shared" si="134"/>
        <v>19</v>
      </c>
      <c r="C1567" s="4"/>
      <c r="D1567" s="4"/>
      <c r="E1567" s="4"/>
      <c r="F1567" s="32" t="s">
        <v>240</v>
      </c>
      <c r="G1567" s="41">
        <v>632</v>
      </c>
      <c r="H1567" s="4" t="s">
        <v>138</v>
      </c>
      <c r="I1567" s="71">
        <v>2900</v>
      </c>
      <c r="J1567" s="71">
        <f>405+360</f>
        <v>765</v>
      </c>
      <c r="K1567" s="213">
        <f t="shared" si="135"/>
        <v>26.379310344827587</v>
      </c>
      <c r="L1567" s="178"/>
      <c r="M1567" s="71"/>
      <c r="N1567" s="71"/>
      <c r="O1567" s="189"/>
      <c r="P1567" s="178"/>
      <c r="Q1567" s="71">
        <f t="shared" si="136"/>
        <v>2900</v>
      </c>
      <c r="R1567" s="71">
        <f t="shared" si="137"/>
        <v>765</v>
      </c>
      <c r="S1567" s="188">
        <f t="shared" si="130"/>
        <v>26.379310344827587</v>
      </c>
    </row>
    <row r="1568" spans="2:19" ht="12.75">
      <c r="B1568" s="28">
        <f t="shared" si="134"/>
        <v>20</v>
      </c>
      <c r="C1568" s="4"/>
      <c r="D1568" s="4"/>
      <c r="E1568" s="4"/>
      <c r="F1568" s="32" t="s">
        <v>240</v>
      </c>
      <c r="G1568" s="41">
        <v>633</v>
      </c>
      <c r="H1568" s="4" t="s">
        <v>129</v>
      </c>
      <c r="I1568" s="71">
        <v>16150</v>
      </c>
      <c r="J1568" s="71">
        <f>2530+1118</f>
        <v>3648</v>
      </c>
      <c r="K1568" s="213">
        <f t="shared" si="135"/>
        <v>22.58823529411765</v>
      </c>
      <c r="L1568" s="178"/>
      <c r="M1568" s="71"/>
      <c r="N1568" s="71"/>
      <c r="O1568" s="189"/>
      <c r="P1568" s="178"/>
      <c r="Q1568" s="71">
        <f t="shared" si="136"/>
        <v>16150</v>
      </c>
      <c r="R1568" s="71">
        <f t="shared" si="137"/>
        <v>3648</v>
      </c>
      <c r="S1568" s="188">
        <f t="shared" si="130"/>
        <v>22.58823529411765</v>
      </c>
    </row>
    <row r="1569" spans="2:19" ht="12.75">
      <c r="B1569" s="28">
        <f t="shared" si="134"/>
        <v>21</v>
      </c>
      <c r="C1569" s="4"/>
      <c r="D1569" s="4"/>
      <c r="E1569" s="4"/>
      <c r="F1569" s="32" t="s">
        <v>240</v>
      </c>
      <c r="G1569" s="41">
        <v>634</v>
      </c>
      <c r="H1569" s="4" t="s">
        <v>135</v>
      </c>
      <c r="I1569" s="71">
        <v>7990</v>
      </c>
      <c r="J1569" s="71">
        <f>634+695</f>
        <v>1329</v>
      </c>
      <c r="K1569" s="213">
        <f t="shared" si="135"/>
        <v>16.633291614518146</v>
      </c>
      <c r="L1569" s="178"/>
      <c r="M1569" s="71"/>
      <c r="N1569" s="71"/>
      <c r="O1569" s="189"/>
      <c r="P1569" s="178"/>
      <c r="Q1569" s="71">
        <f t="shared" si="136"/>
        <v>7990</v>
      </c>
      <c r="R1569" s="71">
        <f t="shared" si="137"/>
        <v>1329</v>
      </c>
      <c r="S1569" s="188">
        <f t="shared" si="130"/>
        <v>16.633291614518146</v>
      </c>
    </row>
    <row r="1570" spans="2:19" ht="12.75">
      <c r="B1570" s="28">
        <f t="shared" si="134"/>
        <v>22</v>
      </c>
      <c r="C1570" s="4"/>
      <c r="D1570" s="4"/>
      <c r="E1570" s="4"/>
      <c r="F1570" s="32" t="s">
        <v>240</v>
      </c>
      <c r="G1570" s="41">
        <v>635</v>
      </c>
      <c r="H1570" s="4" t="s">
        <v>136</v>
      </c>
      <c r="I1570" s="71">
        <v>29600</v>
      </c>
      <c r="J1570" s="71">
        <f>2502+122</f>
        <v>2624</v>
      </c>
      <c r="K1570" s="213">
        <f t="shared" si="135"/>
        <v>8.864864864864865</v>
      </c>
      <c r="L1570" s="178"/>
      <c r="M1570" s="71"/>
      <c r="N1570" s="71"/>
      <c r="O1570" s="189"/>
      <c r="P1570" s="178"/>
      <c r="Q1570" s="71">
        <f t="shared" si="136"/>
        <v>29600</v>
      </c>
      <c r="R1570" s="71">
        <f t="shared" si="137"/>
        <v>2624</v>
      </c>
      <c r="S1570" s="188">
        <f t="shared" si="130"/>
        <v>8.864864864864865</v>
      </c>
    </row>
    <row r="1571" spans="2:19" ht="12.75">
      <c r="B1571" s="28">
        <f t="shared" si="134"/>
        <v>23</v>
      </c>
      <c r="C1571" s="4"/>
      <c r="D1571" s="4"/>
      <c r="E1571" s="4"/>
      <c r="F1571" s="32" t="s">
        <v>240</v>
      </c>
      <c r="G1571" s="41">
        <v>636</v>
      </c>
      <c r="H1571" s="4" t="s">
        <v>130</v>
      </c>
      <c r="I1571" s="71">
        <v>100</v>
      </c>
      <c r="J1571" s="71">
        <v>0</v>
      </c>
      <c r="K1571" s="213">
        <f t="shared" si="135"/>
        <v>0</v>
      </c>
      <c r="L1571" s="178"/>
      <c r="M1571" s="71"/>
      <c r="N1571" s="71"/>
      <c r="O1571" s="189"/>
      <c r="P1571" s="178"/>
      <c r="Q1571" s="71">
        <f t="shared" si="136"/>
        <v>100</v>
      </c>
      <c r="R1571" s="71">
        <f t="shared" si="137"/>
        <v>0</v>
      </c>
      <c r="S1571" s="188">
        <f t="shared" si="130"/>
        <v>0</v>
      </c>
    </row>
    <row r="1572" spans="2:19" ht="12.75">
      <c r="B1572" s="28">
        <f t="shared" si="134"/>
        <v>24</v>
      </c>
      <c r="C1572" s="4"/>
      <c r="D1572" s="4"/>
      <c r="E1572" s="4"/>
      <c r="F1572" s="32" t="s">
        <v>240</v>
      </c>
      <c r="G1572" s="41">
        <v>637</v>
      </c>
      <c r="H1572" s="4" t="s">
        <v>126</v>
      </c>
      <c r="I1572" s="71">
        <v>81260</v>
      </c>
      <c r="J1572" s="71">
        <f>9627+25399</f>
        <v>35026</v>
      </c>
      <c r="K1572" s="213">
        <f t="shared" si="135"/>
        <v>43.103618016244155</v>
      </c>
      <c r="L1572" s="178"/>
      <c r="M1572" s="71"/>
      <c r="N1572" s="71"/>
      <c r="O1572" s="189"/>
      <c r="P1572" s="178"/>
      <c r="Q1572" s="71">
        <f t="shared" si="136"/>
        <v>81260</v>
      </c>
      <c r="R1572" s="71">
        <f t="shared" si="137"/>
        <v>35026</v>
      </c>
      <c r="S1572" s="188">
        <f t="shared" si="130"/>
        <v>43.103618016244155</v>
      </c>
    </row>
    <row r="1573" spans="2:19" ht="12.75">
      <c r="B1573" s="28">
        <f t="shared" si="134"/>
        <v>25</v>
      </c>
      <c r="C1573" s="4"/>
      <c r="D1573" s="4"/>
      <c r="E1573" s="4"/>
      <c r="F1573" s="32" t="s">
        <v>240</v>
      </c>
      <c r="G1573" s="41">
        <v>637</v>
      </c>
      <c r="H1573" s="4" t="s">
        <v>295</v>
      </c>
      <c r="I1573" s="71">
        <v>1375</v>
      </c>
      <c r="J1573" s="71">
        <v>0</v>
      </c>
      <c r="K1573" s="213">
        <f t="shared" si="135"/>
        <v>0</v>
      </c>
      <c r="L1573" s="178"/>
      <c r="M1573" s="71"/>
      <c r="N1573" s="71"/>
      <c r="O1573" s="189"/>
      <c r="P1573" s="178"/>
      <c r="Q1573" s="71">
        <f t="shared" si="136"/>
        <v>1375</v>
      </c>
      <c r="R1573" s="71">
        <f t="shared" si="137"/>
        <v>0</v>
      </c>
      <c r="S1573" s="188">
        <f t="shared" si="130"/>
        <v>0</v>
      </c>
    </row>
    <row r="1574" spans="2:19" ht="12.75">
      <c r="B1574" s="28">
        <f t="shared" si="134"/>
        <v>26</v>
      </c>
      <c r="C1574" s="9"/>
      <c r="D1574" s="9"/>
      <c r="E1574" s="9"/>
      <c r="F1574" s="31" t="s">
        <v>240</v>
      </c>
      <c r="G1574" s="40">
        <v>640</v>
      </c>
      <c r="H1574" s="9" t="s">
        <v>132</v>
      </c>
      <c r="I1574" s="72">
        <v>1200</v>
      </c>
      <c r="J1574" s="72">
        <f>161+158</f>
        <v>319</v>
      </c>
      <c r="K1574" s="215">
        <f t="shared" si="135"/>
        <v>26.583333333333332</v>
      </c>
      <c r="L1574" s="177"/>
      <c r="M1574" s="72"/>
      <c r="N1574" s="72"/>
      <c r="O1574" s="189"/>
      <c r="P1574" s="177"/>
      <c r="Q1574" s="72">
        <f t="shared" si="136"/>
        <v>1200</v>
      </c>
      <c r="R1574" s="72">
        <f t="shared" si="137"/>
        <v>319</v>
      </c>
      <c r="S1574" s="188">
        <f t="shared" si="130"/>
        <v>26.583333333333332</v>
      </c>
    </row>
    <row r="1575" spans="2:19" ht="12.75">
      <c r="B1575" s="28">
        <f t="shared" si="134"/>
        <v>27</v>
      </c>
      <c r="C1575" s="8"/>
      <c r="D1575" s="8"/>
      <c r="E1575" s="8"/>
      <c r="F1575" s="37"/>
      <c r="G1575" s="45"/>
      <c r="H1575" s="8" t="s">
        <v>201</v>
      </c>
      <c r="I1575" s="85">
        <f>I1576+I1577+I1578+I1585</f>
        <v>1332810</v>
      </c>
      <c r="J1575" s="85">
        <f>J1576+J1577+J1578+J1585</f>
        <v>157437</v>
      </c>
      <c r="K1575" s="217">
        <f t="shared" si="135"/>
        <v>11.8124113714633</v>
      </c>
      <c r="L1575" s="177"/>
      <c r="M1575" s="85">
        <f>M1586</f>
        <v>45320</v>
      </c>
      <c r="N1575" s="85">
        <f>N1586</f>
        <v>45312</v>
      </c>
      <c r="O1575" s="189">
        <f t="shared" si="131"/>
        <v>99.98234774933805</v>
      </c>
      <c r="P1575" s="177"/>
      <c r="Q1575" s="85">
        <f t="shared" si="136"/>
        <v>1378130</v>
      </c>
      <c r="R1575" s="85">
        <f t="shared" si="137"/>
        <v>202749</v>
      </c>
      <c r="S1575" s="188">
        <f t="shared" si="130"/>
        <v>14.71189220175165</v>
      </c>
    </row>
    <row r="1576" spans="2:19" ht="12.75">
      <c r="B1576" s="28">
        <f t="shared" si="134"/>
        <v>28</v>
      </c>
      <c r="C1576" s="9"/>
      <c r="D1576" s="9"/>
      <c r="E1576" s="9"/>
      <c r="F1576" s="31" t="s">
        <v>200</v>
      </c>
      <c r="G1576" s="40">
        <v>610</v>
      </c>
      <c r="H1576" s="9" t="s">
        <v>134</v>
      </c>
      <c r="I1576" s="72">
        <v>178995</v>
      </c>
      <c r="J1576" s="72">
        <v>71263</v>
      </c>
      <c r="K1576" s="215">
        <f t="shared" si="135"/>
        <v>39.81284393418811</v>
      </c>
      <c r="L1576" s="177"/>
      <c r="M1576" s="72"/>
      <c r="N1576" s="72"/>
      <c r="O1576" s="189"/>
      <c r="P1576" s="177"/>
      <c r="Q1576" s="72">
        <f t="shared" si="136"/>
        <v>178995</v>
      </c>
      <c r="R1576" s="72">
        <f t="shared" si="137"/>
        <v>71263</v>
      </c>
      <c r="S1576" s="188">
        <f t="shared" si="130"/>
        <v>39.81284393418811</v>
      </c>
    </row>
    <row r="1577" spans="2:19" ht="12.75">
      <c r="B1577" s="28">
        <f t="shared" si="134"/>
        <v>29</v>
      </c>
      <c r="C1577" s="9"/>
      <c r="D1577" s="9"/>
      <c r="E1577" s="9"/>
      <c r="F1577" s="31" t="s">
        <v>200</v>
      </c>
      <c r="G1577" s="40">
        <v>620</v>
      </c>
      <c r="H1577" s="9" t="s">
        <v>128</v>
      </c>
      <c r="I1577" s="72">
        <v>65965</v>
      </c>
      <c r="J1577" s="72">
        <v>22631</v>
      </c>
      <c r="K1577" s="215">
        <f t="shared" si="135"/>
        <v>34.307587356931705</v>
      </c>
      <c r="L1577" s="177"/>
      <c r="M1577" s="72"/>
      <c r="N1577" s="72"/>
      <c r="O1577" s="189"/>
      <c r="P1577" s="177"/>
      <c r="Q1577" s="72">
        <f t="shared" si="136"/>
        <v>65965</v>
      </c>
      <c r="R1577" s="72">
        <f t="shared" si="137"/>
        <v>22631</v>
      </c>
      <c r="S1577" s="188">
        <f t="shared" si="130"/>
        <v>34.307587356931705</v>
      </c>
    </row>
    <row r="1578" spans="2:19" ht="12.75">
      <c r="B1578" s="28">
        <f t="shared" si="134"/>
        <v>30</v>
      </c>
      <c r="C1578" s="9"/>
      <c r="D1578" s="9"/>
      <c r="E1578" s="9"/>
      <c r="F1578" s="31" t="s">
        <v>200</v>
      </c>
      <c r="G1578" s="40">
        <v>630</v>
      </c>
      <c r="H1578" s="9" t="s">
        <v>125</v>
      </c>
      <c r="I1578" s="72">
        <f>SUM(I1579:I1584)</f>
        <v>1086850</v>
      </c>
      <c r="J1578" s="72">
        <f>SUM(J1579:J1584)</f>
        <v>63145</v>
      </c>
      <c r="K1578" s="215">
        <f t="shared" si="135"/>
        <v>5.809909371118369</v>
      </c>
      <c r="L1578" s="177"/>
      <c r="M1578" s="72"/>
      <c r="N1578" s="72"/>
      <c r="O1578" s="189"/>
      <c r="P1578" s="177"/>
      <c r="Q1578" s="72">
        <f t="shared" si="136"/>
        <v>1086850</v>
      </c>
      <c r="R1578" s="72">
        <f t="shared" si="137"/>
        <v>63145</v>
      </c>
      <c r="S1578" s="188">
        <f t="shared" si="130"/>
        <v>5.809909371118369</v>
      </c>
    </row>
    <row r="1579" spans="2:19" ht="12.75">
      <c r="B1579" s="28">
        <f t="shared" si="134"/>
        <v>31</v>
      </c>
      <c r="C1579" s="4"/>
      <c r="D1579" s="4"/>
      <c r="E1579" s="4"/>
      <c r="F1579" s="32" t="s">
        <v>200</v>
      </c>
      <c r="G1579" s="41">
        <v>633</v>
      </c>
      <c r="H1579" s="4" t="s">
        <v>129</v>
      </c>
      <c r="I1579" s="71">
        <f>209350</f>
        <v>209350</v>
      </c>
      <c r="J1579" s="71">
        <v>11000</v>
      </c>
      <c r="K1579" s="213">
        <f t="shared" si="135"/>
        <v>5.254358729400526</v>
      </c>
      <c r="L1579" s="178"/>
      <c r="M1579" s="71"/>
      <c r="N1579" s="71"/>
      <c r="O1579" s="189"/>
      <c r="P1579" s="178"/>
      <c r="Q1579" s="71">
        <f t="shared" si="136"/>
        <v>209350</v>
      </c>
      <c r="R1579" s="71">
        <f t="shared" si="137"/>
        <v>11000</v>
      </c>
      <c r="S1579" s="188">
        <f t="shared" si="130"/>
        <v>5.254358729400526</v>
      </c>
    </row>
    <row r="1580" spans="2:19" ht="12.75">
      <c r="B1580" s="28">
        <f t="shared" si="134"/>
        <v>32</v>
      </c>
      <c r="C1580" s="4"/>
      <c r="D1580" s="4"/>
      <c r="E1580" s="4"/>
      <c r="F1580" s="32" t="s">
        <v>200</v>
      </c>
      <c r="G1580" s="41">
        <v>634</v>
      </c>
      <c r="H1580" s="4" t="s">
        <v>135</v>
      </c>
      <c r="I1580" s="71">
        <v>26200</v>
      </c>
      <c r="J1580" s="71">
        <v>8481</v>
      </c>
      <c r="K1580" s="213">
        <f t="shared" si="135"/>
        <v>32.37022900763359</v>
      </c>
      <c r="L1580" s="178"/>
      <c r="M1580" s="71"/>
      <c r="N1580" s="71"/>
      <c r="O1580" s="189"/>
      <c r="P1580" s="178"/>
      <c r="Q1580" s="71">
        <f t="shared" si="136"/>
        <v>26200</v>
      </c>
      <c r="R1580" s="71">
        <f t="shared" si="137"/>
        <v>8481</v>
      </c>
      <c r="S1580" s="188">
        <f t="shared" si="130"/>
        <v>32.37022900763359</v>
      </c>
    </row>
    <row r="1581" spans="2:19" ht="12.75">
      <c r="B1581" s="28">
        <f t="shared" si="134"/>
        <v>33</v>
      </c>
      <c r="C1581" s="4"/>
      <c r="D1581" s="4"/>
      <c r="E1581" s="4"/>
      <c r="F1581" s="32" t="s">
        <v>200</v>
      </c>
      <c r="G1581" s="41">
        <v>635</v>
      </c>
      <c r="H1581" s="4" t="s">
        <v>136</v>
      </c>
      <c r="I1581" s="71">
        <f>656350+100000-32050+2600+2050</f>
        <v>728950</v>
      </c>
      <c r="J1581" s="71">
        <v>38633</v>
      </c>
      <c r="K1581" s="213">
        <f t="shared" si="135"/>
        <v>5.2998148021126275</v>
      </c>
      <c r="L1581" s="178"/>
      <c r="M1581" s="71"/>
      <c r="N1581" s="71"/>
      <c r="O1581" s="189"/>
      <c r="P1581" s="178"/>
      <c r="Q1581" s="71">
        <f t="shared" si="136"/>
        <v>728950</v>
      </c>
      <c r="R1581" s="71">
        <f t="shared" si="137"/>
        <v>38633</v>
      </c>
      <c r="S1581" s="188">
        <f t="shared" si="130"/>
        <v>5.2998148021126275</v>
      </c>
    </row>
    <row r="1582" spans="2:19" ht="12.75">
      <c r="B1582" s="28">
        <f t="shared" si="134"/>
        <v>34</v>
      </c>
      <c r="C1582" s="4"/>
      <c r="D1582" s="4"/>
      <c r="E1582" s="4"/>
      <c r="F1582" s="32" t="s">
        <v>200</v>
      </c>
      <c r="G1582" s="41">
        <v>636</v>
      </c>
      <c r="H1582" s="4" t="s">
        <v>130</v>
      </c>
      <c r="I1582" s="71">
        <v>700</v>
      </c>
      <c r="J1582" s="71">
        <v>0</v>
      </c>
      <c r="K1582" s="213">
        <f t="shared" si="135"/>
        <v>0</v>
      </c>
      <c r="L1582" s="178"/>
      <c r="M1582" s="71"/>
      <c r="N1582" s="71"/>
      <c r="O1582" s="189"/>
      <c r="P1582" s="178"/>
      <c r="Q1582" s="71">
        <f t="shared" si="136"/>
        <v>700</v>
      </c>
      <c r="R1582" s="71">
        <f t="shared" si="137"/>
        <v>0</v>
      </c>
      <c r="S1582" s="188">
        <f t="shared" si="130"/>
        <v>0</v>
      </c>
    </row>
    <row r="1583" spans="2:19" ht="12.75">
      <c r="B1583" s="28">
        <f t="shared" si="134"/>
        <v>35</v>
      </c>
      <c r="C1583" s="4"/>
      <c r="D1583" s="4"/>
      <c r="E1583" s="4"/>
      <c r="F1583" s="32" t="s">
        <v>200</v>
      </c>
      <c r="G1583" s="41">
        <v>637</v>
      </c>
      <c r="H1583" s="4" t="s">
        <v>126</v>
      </c>
      <c r="I1583" s="71">
        <f>120300-850</f>
        <v>119450</v>
      </c>
      <c r="J1583" s="71">
        <v>5031</v>
      </c>
      <c r="K1583" s="213">
        <f t="shared" si="135"/>
        <v>4.211804102134784</v>
      </c>
      <c r="L1583" s="178"/>
      <c r="M1583" s="71"/>
      <c r="N1583" s="71"/>
      <c r="O1583" s="189"/>
      <c r="P1583" s="178"/>
      <c r="Q1583" s="71">
        <f t="shared" si="136"/>
        <v>119450</v>
      </c>
      <c r="R1583" s="71">
        <f t="shared" si="137"/>
        <v>5031</v>
      </c>
      <c r="S1583" s="188">
        <f t="shared" si="130"/>
        <v>4.211804102134784</v>
      </c>
    </row>
    <row r="1584" spans="2:19" ht="12.75">
      <c r="B1584" s="28">
        <f t="shared" si="134"/>
        <v>36</v>
      </c>
      <c r="C1584" s="4"/>
      <c r="D1584" s="4"/>
      <c r="E1584" s="4"/>
      <c r="F1584" s="32" t="s">
        <v>200</v>
      </c>
      <c r="G1584" s="41">
        <v>637</v>
      </c>
      <c r="H1584" s="4" t="s">
        <v>295</v>
      </c>
      <c r="I1584" s="71">
        <v>2200</v>
      </c>
      <c r="J1584" s="71">
        <v>0</v>
      </c>
      <c r="K1584" s="213">
        <f t="shared" si="135"/>
        <v>0</v>
      </c>
      <c r="L1584" s="178"/>
      <c r="M1584" s="71"/>
      <c r="N1584" s="71"/>
      <c r="O1584" s="189"/>
      <c r="P1584" s="178"/>
      <c r="Q1584" s="71">
        <f t="shared" si="136"/>
        <v>2200</v>
      </c>
      <c r="R1584" s="71">
        <f t="shared" si="137"/>
        <v>0</v>
      </c>
      <c r="S1584" s="188">
        <f t="shared" si="130"/>
        <v>0</v>
      </c>
    </row>
    <row r="1585" spans="2:19" ht="12.75">
      <c r="B1585" s="28">
        <f t="shared" si="134"/>
        <v>37</v>
      </c>
      <c r="C1585" s="9"/>
      <c r="D1585" s="9"/>
      <c r="E1585" s="9"/>
      <c r="F1585" s="31" t="s">
        <v>200</v>
      </c>
      <c r="G1585" s="40">
        <v>640</v>
      </c>
      <c r="H1585" s="9" t="s">
        <v>132</v>
      </c>
      <c r="I1585" s="72">
        <f>500+500</f>
        <v>1000</v>
      </c>
      <c r="J1585" s="72">
        <v>398</v>
      </c>
      <c r="K1585" s="215">
        <f t="shared" si="135"/>
        <v>39.800000000000004</v>
      </c>
      <c r="L1585" s="177"/>
      <c r="M1585" s="72"/>
      <c r="N1585" s="72"/>
      <c r="O1585" s="189"/>
      <c r="P1585" s="177"/>
      <c r="Q1585" s="72">
        <f t="shared" si="136"/>
        <v>1000</v>
      </c>
      <c r="R1585" s="72">
        <f t="shared" si="137"/>
        <v>398</v>
      </c>
      <c r="S1585" s="188">
        <f t="shared" si="130"/>
        <v>39.800000000000004</v>
      </c>
    </row>
    <row r="1586" spans="2:19" ht="12.75">
      <c r="B1586" s="28">
        <f t="shared" si="134"/>
        <v>38</v>
      </c>
      <c r="C1586" s="9"/>
      <c r="D1586" s="9"/>
      <c r="E1586" s="9"/>
      <c r="F1586" s="31" t="s">
        <v>200</v>
      </c>
      <c r="G1586" s="40">
        <v>710</v>
      </c>
      <c r="H1586" s="9" t="s">
        <v>180</v>
      </c>
      <c r="I1586" s="72"/>
      <c r="J1586" s="72"/>
      <c r="K1586" s="215"/>
      <c r="L1586" s="177"/>
      <c r="M1586" s="72">
        <f>M1587</f>
        <v>45320</v>
      </c>
      <c r="N1586" s="72">
        <f>N1587</f>
        <v>45312</v>
      </c>
      <c r="O1586" s="189">
        <f t="shared" si="131"/>
        <v>99.98234774933805</v>
      </c>
      <c r="P1586" s="177"/>
      <c r="Q1586" s="72">
        <f t="shared" si="136"/>
        <v>45320</v>
      </c>
      <c r="R1586" s="72">
        <f t="shared" si="137"/>
        <v>45312</v>
      </c>
      <c r="S1586" s="188">
        <f t="shared" si="130"/>
        <v>99.98234774933805</v>
      </c>
    </row>
    <row r="1587" spans="2:19" ht="12.75">
      <c r="B1587" s="28">
        <f>B1586+1</f>
        <v>39</v>
      </c>
      <c r="C1587" s="4"/>
      <c r="D1587" s="4"/>
      <c r="E1587" s="4"/>
      <c r="F1587" s="32" t="s">
        <v>200</v>
      </c>
      <c r="G1587" s="41">
        <v>714</v>
      </c>
      <c r="H1587" s="4" t="s">
        <v>181</v>
      </c>
      <c r="I1587" s="71"/>
      <c r="J1587" s="71"/>
      <c r="K1587" s="213"/>
      <c r="L1587" s="178"/>
      <c r="M1587" s="71">
        <f>SUM(M1588:M1589)</f>
        <v>45320</v>
      </c>
      <c r="N1587" s="71">
        <f>SUM(N1588:N1589)</f>
        <v>45312</v>
      </c>
      <c r="O1587" s="189">
        <f t="shared" si="131"/>
        <v>99.98234774933805</v>
      </c>
      <c r="P1587" s="178"/>
      <c r="Q1587" s="71">
        <f t="shared" si="136"/>
        <v>45320</v>
      </c>
      <c r="R1587" s="71">
        <f t="shared" si="137"/>
        <v>45312</v>
      </c>
      <c r="S1587" s="188">
        <f t="shared" si="130"/>
        <v>99.98234774933805</v>
      </c>
    </row>
    <row r="1588" spans="2:19" ht="12.75">
      <c r="B1588" s="28">
        <f t="shared" si="134"/>
        <v>40</v>
      </c>
      <c r="C1588" s="5"/>
      <c r="D1588" s="5"/>
      <c r="E1588" s="5"/>
      <c r="F1588" s="36"/>
      <c r="G1588" s="42"/>
      <c r="H1588" s="5" t="s">
        <v>473</v>
      </c>
      <c r="I1588" s="75"/>
      <c r="J1588" s="75"/>
      <c r="K1588" s="213"/>
      <c r="L1588" s="99"/>
      <c r="M1588" s="75">
        <f>18600-2170</f>
        <v>16430</v>
      </c>
      <c r="N1588" s="75">
        <v>16428</v>
      </c>
      <c r="O1588" s="189">
        <f t="shared" si="131"/>
        <v>99.98782714546562</v>
      </c>
      <c r="P1588" s="99"/>
      <c r="Q1588" s="75">
        <f t="shared" si="136"/>
        <v>16430</v>
      </c>
      <c r="R1588" s="75">
        <f t="shared" si="137"/>
        <v>16428</v>
      </c>
      <c r="S1588" s="188">
        <f t="shared" si="130"/>
        <v>99.98782714546562</v>
      </c>
    </row>
    <row r="1589" spans="2:19" ht="12.75">
      <c r="B1589" s="28">
        <f t="shared" si="134"/>
        <v>41</v>
      </c>
      <c r="C1589" s="5"/>
      <c r="D1589" s="5"/>
      <c r="E1589" s="5"/>
      <c r="F1589" s="36"/>
      <c r="G1589" s="42"/>
      <c r="H1589" s="5" t="s">
        <v>503</v>
      </c>
      <c r="I1589" s="75"/>
      <c r="J1589" s="75"/>
      <c r="K1589" s="213"/>
      <c r="L1589" s="99"/>
      <c r="M1589" s="75">
        <f>32050-3160</f>
        <v>28890</v>
      </c>
      <c r="N1589" s="75">
        <v>28884</v>
      </c>
      <c r="O1589" s="189">
        <f t="shared" si="131"/>
        <v>99.97923156801662</v>
      </c>
      <c r="P1589" s="99"/>
      <c r="Q1589" s="75">
        <f t="shared" si="136"/>
        <v>28890</v>
      </c>
      <c r="R1589" s="75">
        <f t="shared" si="137"/>
        <v>28884</v>
      </c>
      <c r="S1589" s="188">
        <f t="shared" si="130"/>
        <v>99.97923156801662</v>
      </c>
    </row>
    <row r="1590" spans="2:19" ht="15">
      <c r="B1590" s="28">
        <f t="shared" si="134"/>
        <v>42</v>
      </c>
      <c r="C1590" s="7">
        <v>2</v>
      </c>
      <c r="D1590" s="277" t="s">
        <v>144</v>
      </c>
      <c r="E1590" s="278"/>
      <c r="F1590" s="278"/>
      <c r="G1590" s="278"/>
      <c r="H1590" s="279"/>
      <c r="I1590" s="79">
        <f>I1591+I1601</f>
        <v>2552300</v>
      </c>
      <c r="J1590" s="79">
        <f>J1591+J1601</f>
        <v>876922</v>
      </c>
      <c r="K1590" s="218">
        <f t="shared" si="135"/>
        <v>34.358108372840185</v>
      </c>
      <c r="L1590" s="175"/>
      <c r="M1590" s="79">
        <f>M1591+M1601</f>
        <v>300060</v>
      </c>
      <c r="N1590" s="79">
        <f>N1591+N1601</f>
        <v>33009</v>
      </c>
      <c r="O1590" s="189">
        <f t="shared" si="131"/>
        <v>11.000799840031995</v>
      </c>
      <c r="P1590" s="175"/>
      <c r="Q1590" s="79">
        <f t="shared" si="136"/>
        <v>2852360</v>
      </c>
      <c r="R1590" s="79">
        <f t="shared" si="137"/>
        <v>909931</v>
      </c>
      <c r="S1590" s="188">
        <f t="shared" si="130"/>
        <v>31.900987252660958</v>
      </c>
    </row>
    <row r="1591" spans="2:19" ht="15">
      <c r="B1591" s="28">
        <f t="shared" si="134"/>
        <v>43</v>
      </c>
      <c r="C1591" s="2"/>
      <c r="D1591" s="2">
        <v>1</v>
      </c>
      <c r="E1591" s="284" t="s">
        <v>143</v>
      </c>
      <c r="F1591" s="278"/>
      <c r="G1591" s="278"/>
      <c r="H1591" s="279"/>
      <c r="I1591" s="80">
        <f>I1592</f>
        <v>2550000</v>
      </c>
      <c r="J1591" s="80">
        <f>J1592</f>
        <v>876922</v>
      </c>
      <c r="K1591" s="219">
        <f t="shared" si="135"/>
        <v>34.38909803921569</v>
      </c>
      <c r="L1591" s="176"/>
      <c r="M1591" s="80">
        <f>M1594</f>
        <v>200000</v>
      </c>
      <c r="N1591" s="80">
        <f>N1594</f>
        <v>479</v>
      </c>
      <c r="O1591" s="189">
        <f t="shared" si="131"/>
        <v>0.2395</v>
      </c>
      <c r="P1591" s="176"/>
      <c r="Q1591" s="80">
        <f t="shared" si="136"/>
        <v>2750000</v>
      </c>
      <c r="R1591" s="80">
        <f t="shared" si="137"/>
        <v>877401</v>
      </c>
      <c r="S1591" s="188">
        <f t="shared" si="130"/>
        <v>31.90549090909091</v>
      </c>
    </row>
    <row r="1592" spans="2:19" ht="12.75">
      <c r="B1592" s="28">
        <f t="shared" si="134"/>
        <v>44</v>
      </c>
      <c r="C1592" s="9"/>
      <c r="D1592" s="9"/>
      <c r="E1592" s="9"/>
      <c r="F1592" s="31" t="s">
        <v>142</v>
      </c>
      <c r="G1592" s="40">
        <v>630</v>
      </c>
      <c r="H1592" s="9" t="s">
        <v>125</v>
      </c>
      <c r="I1592" s="72">
        <f>I1593</f>
        <v>2550000</v>
      </c>
      <c r="J1592" s="72">
        <f>J1593</f>
        <v>876922</v>
      </c>
      <c r="K1592" s="215">
        <f t="shared" si="135"/>
        <v>34.38909803921569</v>
      </c>
      <c r="L1592" s="177"/>
      <c r="M1592" s="72"/>
      <c r="N1592" s="72"/>
      <c r="O1592" s="189"/>
      <c r="P1592" s="177"/>
      <c r="Q1592" s="72">
        <f t="shared" si="136"/>
        <v>2550000</v>
      </c>
      <c r="R1592" s="72">
        <f t="shared" si="137"/>
        <v>876922</v>
      </c>
      <c r="S1592" s="188">
        <f t="shared" si="130"/>
        <v>34.38909803921569</v>
      </c>
    </row>
    <row r="1593" spans="2:19" ht="12.75">
      <c r="B1593" s="28">
        <f t="shared" si="134"/>
        <v>45</v>
      </c>
      <c r="C1593" s="4"/>
      <c r="D1593" s="4"/>
      <c r="E1593" s="4"/>
      <c r="F1593" s="32" t="s">
        <v>142</v>
      </c>
      <c r="G1593" s="41">
        <v>637</v>
      </c>
      <c r="H1593" s="4" t="s">
        <v>126</v>
      </c>
      <c r="I1593" s="71">
        <f>2366200+200000-16200</f>
        <v>2550000</v>
      </c>
      <c r="J1593" s="71">
        <v>876922</v>
      </c>
      <c r="K1593" s="213">
        <f t="shared" si="135"/>
        <v>34.38909803921569</v>
      </c>
      <c r="L1593" s="178"/>
      <c r="M1593" s="71"/>
      <c r="N1593" s="71"/>
      <c r="O1593" s="189"/>
      <c r="P1593" s="178"/>
      <c r="Q1593" s="71">
        <f t="shared" si="136"/>
        <v>2550000</v>
      </c>
      <c r="R1593" s="71">
        <f t="shared" si="137"/>
        <v>876922</v>
      </c>
      <c r="S1593" s="188">
        <f t="shared" si="130"/>
        <v>34.38909803921569</v>
      </c>
    </row>
    <row r="1594" spans="2:19" ht="12.75">
      <c r="B1594" s="28">
        <f t="shared" si="134"/>
        <v>46</v>
      </c>
      <c r="C1594" s="9"/>
      <c r="D1594" s="9"/>
      <c r="E1594" s="9"/>
      <c r="F1594" s="31" t="s">
        <v>142</v>
      </c>
      <c r="G1594" s="40">
        <v>710</v>
      </c>
      <c r="H1594" s="9" t="s">
        <v>180</v>
      </c>
      <c r="I1594" s="72"/>
      <c r="J1594" s="72"/>
      <c r="K1594" s="215"/>
      <c r="L1594" s="177"/>
      <c r="M1594" s="72">
        <f>M1598+M1595</f>
        <v>200000</v>
      </c>
      <c r="N1594" s="72">
        <f>N1598+N1595</f>
        <v>479</v>
      </c>
      <c r="O1594" s="189">
        <f t="shared" si="131"/>
        <v>0.2395</v>
      </c>
      <c r="P1594" s="177"/>
      <c r="Q1594" s="72">
        <f t="shared" si="136"/>
        <v>200000</v>
      </c>
      <c r="R1594" s="72">
        <f t="shared" si="137"/>
        <v>479</v>
      </c>
      <c r="S1594" s="188">
        <f t="shared" si="130"/>
        <v>0.2395</v>
      </c>
    </row>
    <row r="1595" spans="2:19" ht="12.75">
      <c r="B1595" s="28">
        <f t="shared" si="134"/>
        <v>47</v>
      </c>
      <c r="C1595" s="9"/>
      <c r="D1595" s="9"/>
      <c r="E1595" s="9"/>
      <c r="F1595" s="32" t="s">
        <v>142</v>
      </c>
      <c r="G1595" s="41">
        <v>716</v>
      </c>
      <c r="H1595" s="4" t="s">
        <v>225</v>
      </c>
      <c r="I1595" s="71"/>
      <c r="J1595" s="71"/>
      <c r="K1595" s="213"/>
      <c r="L1595" s="178"/>
      <c r="M1595" s="71">
        <f>M1596+M1597</f>
        <v>2150</v>
      </c>
      <c r="N1595" s="71">
        <f>N1596+N1597</f>
        <v>479</v>
      </c>
      <c r="O1595" s="189">
        <f t="shared" si="131"/>
        <v>22.27906976744186</v>
      </c>
      <c r="P1595" s="178"/>
      <c r="Q1595" s="71">
        <f t="shared" si="136"/>
        <v>2150</v>
      </c>
      <c r="R1595" s="71">
        <f t="shared" si="137"/>
        <v>479</v>
      </c>
      <c r="S1595" s="188">
        <f t="shared" si="130"/>
        <v>22.27906976744186</v>
      </c>
    </row>
    <row r="1596" spans="2:19" ht="12.75">
      <c r="B1596" s="28">
        <f t="shared" si="134"/>
        <v>48</v>
      </c>
      <c r="C1596" s="9"/>
      <c r="D1596" s="9"/>
      <c r="E1596" s="9"/>
      <c r="F1596" s="33"/>
      <c r="G1596" s="42"/>
      <c r="H1596" s="5" t="s">
        <v>524</v>
      </c>
      <c r="I1596" s="75"/>
      <c r="J1596" s="75"/>
      <c r="K1596" s="213"/>
      <c r="L1596" s="99"/>
      <c r="M1596" s="75">
        <v>1000</v>
      </c>
      <c r="N1596" s="75">
        <v>0</v>
      </c>
      <c r="O1596" s="189">
        <f t="shared" si="131"/>
        <v>0</v>
      </c>
      <c r="P1596" s="99"/>
      <c r="Q1596" s="75">
        <f t="shared" si="136"/>
        <v>1000</v>
      </c>
      <c r="R1596" s="75">
        <f t="shared" si="137"/>
        <v>0</v>
      </c>
      <c r="S1596" s="188">
        <f t="shared" si="130"/>
        <v>0</v>
      </c>
    </row>
    <row r="1597" spans="2:19" ht="12.75">
      <c r="B1597" s="28">
        <f t="shared" si="134"/>
        <v>49</v>
      </c>
      <c r="C1597" s="9"/>
      <c r="D1597" s="9"/>
      <c r="E1597" s="9"/>
      <c r="F1597" s="33"/>
      <c r="G1597" s="42"/>
      <c r="H1597" s="5" t="s">
        <v>526</v>
      </c>
      <c r="I1597" s="75"/>
      <c r="J1597" s="75"/>
      <c r="K1597" s="213"/>
      <c r="L1597" s="99"/>
      <c r="M1597" s="75">
        <v>1150</v>
      </c>
      <c r="N1597" s="75">
        <v>479</v>
      </c>
      <c r="O1597" s="189">
        <f t="shared" si="131"/>
        <v>41.65217391304348</v>
      </c>
      <c r="P1597" s="99"/>
      <c r="Q1597" s="75">
        <f t="shared" si="136"/>
        <v>1150</v>
      </c>
      <c r="R1597" s="75">
        <f t="shared" si="137"/>
        <v>479</v>
      </c>
      <c r="S1597" s="188">
        <f t="shared" si="130"/>
        <v>41.65217391304348</v>
      </c>
    </row>
    <row r="1598" spans="2:19" ht="12.75">
      <c r="B1598" s="28">
        <f t="shared" si="134"/>
        <v>50</v>
      </c>
      <c r="C1598" s="4"/>
      <c r="D1598" s="4"/>
      <c r="E1598" s="4"/>
      <c r="F1598" s="32" t="s">
        <v>142</v>
      </c>
      <c r="G1598" s="41">
        <v>717</v>
      </c>
      <c r="H1598" s="4" t="s">
        <v>190</v>
      </c>
      <c r="I1598" s="71"/>
      <c r="J1598" s="71"/>
      <c r="K1598" s="213"/>
      <c r="L1598" s="178"/>
      <c r="M1598" s="71">
        <f>SUM(M1599:M1600)</f>
        <v>197850</v>
      </c>
      <c r="N1598" s="71">
        <f>SUM(N1599:N1600)</f>
        <v>0</v>
      </c>
      <c r="O1598" s="189">
        <f t="shared" si="131"/>
        <v>0</v>
      </c>
      <c r="P1598" s="178"/>
      <c r="Q1598" s="75">
        <f t="shared" si="136"/>
        <v>197850</v>
      </c>
      <c r="R1598" s="75">
        <f t="shared" si="137"/>
        <v>0</v>
      </c>
      <c r="S1598" s="188">
        <f t="shared" si="130"/>
        <v>0</v>
      </c>
    </row>
    <row r="1599" spans="2:19" ht="12.75">
      <c r="B1599" s="28">
        <f t="shared" si="134"/>
        <v>51</v>
      </c>
      <c r="C1599" s="5"/>
      <c r="D1599" s="5"/>
      <c r="E1599" s="5"/>
      <c r="F1599" s="33"/>
      <c r="G1599" s="42"/>
      <c r="H1599" s="5" t="s">
        <v>472</v>
      </c>
      <c r="I1599" s="75"/>
      <c r="J1599" s="75"/>
      <c r="K1599" s="213"/>
      <c r="L1599" s="99"/>
      <c r="M1599" s="75">
        <f>20000-1150</f>
        <v>18850</v>
      </c>
      <c r="N1599" s="75">
        <v>0</v>
      </c>
      <c r="O1599" s="189">
        <f t="shared" si="131"/>
        <v>0</v>
      </c>
      <c r="P1599" s="99"/>
      <c r="Q1599" s="75">
        <f t="shared" si="136"/>
        <v>18850</v>
      </c>
      <c r="R1599" s="75">
        <f t="shared" si="137"/>
        <v>0</v>
      </c>
      <c r="S1599" s="188">
        <f t="shared" si="130"/>
        <v>0</v>
      </c>
    </row>
    <row r="1600" spans="2:19" ht="12.75">
      <c r="B1600" s="28">
        <f t="shared" si="134"/>
        <v>52</v>
      </c>
      <c r="C1600" s="5"/>
      <c r="D1600" s="5"/>
      <c r="E1600" s="5"/>
      <c r="F1600" s="33"/>
      <c r="G1600" s="42"/>
      <c r="H1600" s="5" t="s">
        <v>551</v>
      </c>
      <c r="I1600" s="75"/>
      <c r="J1600" s="75"/>
      <c r="K1600" s="213"/>
      <c r="L1600" s="99"/>
      <c r="M1600" s="75">
        <v>179000</v>
      </c>
      <c r="N1600" s="75">
        <v>0</v>
      </c>
      <c r="O1600" s="189">
        <f t="shared" si="131"/>
        <v>0</v>
      </c>
      <c r="P1600" s="99"/>
      <c r="Q1600" s="75">
        <f>M1600+I1600</f>
        <v>179000</v>
      </c>
      <c r="R1600" s="75">
        <f t="shared" si="137"/>
        <v>0</v>
      </c>
      <c r="S1600" s="188">
        <f t="shared" si="130"/>
        <v>0</v>
      </c>
    </row>
    <row r="1601" spans="2:19" ht="15">
      <c r="B1601" s="28">
        <f t="shared" si="134"/>
        <v>53</v>
      </c>
      <c r="C1601" s="2"/>
      <c r="D1601" s="2">
        <v>2</v>
      </c>
      <c r="E1601" s="284" t="s">
        <v>251</v>
      </c>
      <c r="F1601" s="278"/>
      <c r="G1601" s="278"/>
      <c r="H1601" s="279"/>
      <c r="I1601" s="80">
        <f>I1602</f>
        <v>2300</v>
      </c>
      <c r="J1601" s="80">
        <f>J1602</f>
        <v>0</v>
      </c>
      <c r="K1601" s="219">
        <f t="shared" si="135"/>
        <v>0</v>
      </c>
      <c r="L1601" s="176"/>
      <c r="M1601" s="80">
        <f>M1604</f>
        <v>100060</v>
      </c>
      <c r="N1601" s="80">
        <f>N1604</f>
        <v>32530</v>
      </c>
      <c r="O1601" s="189">
        <f t="shared" si="131"/>
        <v>32.51049370377773</v>
      </c>
      <c r="P1601" s="176"/>
      <c r="Q1601" s="80">
        <f t="shared" si="136"/>
        <v>102360</v>
      </c>
      <c r="R1601" s="80">
        <f t="shared" si="137"/>
        <v>32530</v>
      </c>
      <c r="S1601" s="188">
        <f t="shared" si="130"/>
        <v>31.779992184447046</v>
      </c>
    </row>
    <row r="1602" spans="2:19" ht="12.75">
      <c r="B1602" s="28">
        <f t="shared" si="134"/>
        <v>54</v>
      </c>
      <c r="C1602" s="9"/>
      <c r="D1602" s="9"/>
      <c r="E1602" s="9"/>
      <c r="F1602" s="31" t="s">
        <v>142</v>
      </c>
      <c r="G1602" s="40">
        <v>630</v>
      </c>
      <c r="H1602" s="9" t="s">
        <v>125</v>
      </c>
      <c r="I1602" s="72">
        <f>I1603</f>
        <v>2300</v>
      </c>
      <c r="J1602" s="72">
        <f>J1603</f>
        <v>0</v>
      </c>
      <c r="K1602" s="215">
        <f t="shared" si="135"/>
        <v>0</v>
      </c>
      <c r="L1602" s="177"/>
      <c r="M1602" s="72"/>
      <c r="N1602" s="72"/>
      <c r="O1602" s="189"/>
      <c r="P1602" s="177"/>
      <c r="Q1602" s="72">
        <f t="shared" si="136"/>
        <v>2300</v>
      </c>
      <c r="R1602" s="72">
        <f t="shared" si="137"/>
        <v>0</v>
      </c>
      <c r="S1602" s="188">
        <f t="shared" si="130"/>
        <v>0</v>
      </c>
    </row>
    <row r="1603" spans="2:19" ht="12.75">
      <c r="B1603" s="28">
        <f t="shared" si="134"/>
        <v>55</v>
      </c>
      <c r="C1603" s="4"/>
      <c r="D1603" s="4"/>
      <c r="E1603" s="4"/>
      <c r="F1603" s="32" t="s">
        <v>142</v>
      </c>
      <c r="G1603" s="41">
        <v>637</v>
      </c>
      <c r="H1603" s="4" t="s">
        <v>126</v>
      </c>
      <c r="I1603" s="71">
        <v>2300</v>
      </c>
      <c r="J1603" s="71">
        <v>0</v>
      </c>
      <c r="K1603" s="213">
        <f t="shared" si="135"/>
        <v>0</v>
      </c>
      <c r="L1603" s="178"/>
      <c r="M1603" s="71"/>
      <c r="N1603" s="71"/>
      <c r="O1603" s="189"/>
      <c r="P1603" s="178"/>
      <c r="Q1603" s="71">
        <f t="shared" si="136"/>
        <v>2300</v>
      </c>
      <c r="R1603" s="71">
        <f t="shared" si="137"/>
        <v>0</v>
      </c>
      <c r="S1603" s="188">
        <f t="shared" si="130"/>
        <v>0</v>
      </c>
    </row>
    <row r="1604" spans="2:19" ht="12.75">
      <c r="B1604" s="28">
        <f t="shared" si="134"/>
        <v>56</v>
      </c>
      <c r="C1604" s="9"/>
      <c r="D1604" s="9"/>
      <c r="E1604" s="9"/>
      <c r="F1604" s="31" t="s">
        <v>142</v>
      </c>
      <c r="G1604" s="40">
        <v>710</v>
      </c>
      <c r="H1604" s="9" t="s">
        <v>180</v>
      </c>
      <c r="I1604" s="72"/>
      <c r="J1604" s="72"/>
      <c r="K1604" s="215"/>
      <c r="L1604" s="177"/>
      <c r="M1604" s="72">
        <f>M1605</f>
        <v>100060</v>
      </c>
      <c r="N1604" s="72">
        <f>N1605</f>
        <v>32530</v>
      </c>
      <c r="O1604" s="189">
        <f t="shared" si="131"/>
        <v>32.51049370377773</v>
      </c>
      <c r="P1604" s="177"/>
      <c r="Q1604" s="72">
        <f t="shared" si="136"/>
        <v>100060</v>
      </c>
      <c r="R1604" s="72">
        <f t="shared" si="137"/>
        <v>32530</v>
      </c>
      <c r="S1604" s="188">
        <f t="shared" si="130"/>
        <v>32.51049370377773</v>
      </c>
    </row>
    <row r="1605" spans="2:19" ht="12.75">
      <c r="B1605" s="28">
        <f t="shared" si="134"/>
        <v>57</v>
      </c>
      <c r="C1605" s="4"/>
      <c r="D1605" s="4"/>
      <c r="E1605" s="4"/>
      <c r="F1605" s="32" t="s">
        <v>142</v>
      </c>
      <c r="G1605" s="41">
        <v>717</v>
      </c>
      <c r="H1605" s="4" t="s">
        <v>190</v>
      </c>
      <c r="I1605" s="71"/>
      <c r="J1605" s="71"/>
      <c r="K1605" s="213"/>
      <c r="L1605" s="178"/>
      <c r="M1605" s="71">
        <f>M1606+M1607</f>
        <v>100060</v>
      </c>
      <c r="N1605" s="71">
        <f>N1606+N1607</f>
        <v>32530</v>
      </c>
      <c r="O1605" s="189">
        <f t="shared" si="131"/>
        <v>32.51049370377773</v>
      </c>
      <c r="P1605" s="178"/>
      <c r="Q1605" s="71">
        <f t="shared" si="136"/>
        <v>100060</v>
      </c>
      <c r="R1605" s="71">
        <f t="shared" si="137"/>
        <v>32530</v>
      </c>
      <c r="S1605" s="188">
        <f t="shared" si="130"/>
        <v>32.51049370377773</v>
      </c>
    </row>
    <row r="1606" spans="2:19" ht="12.75">
      <c r="B1606" s="28">
        <f t="shared" si="134"/>
        <v>58</v>
      </c>
      <c r="C1606" s="5"/>
      <c r="D1606" s="5"/>
      <c r="E1606" s="5"/>
      <c r="F1606" s="33"/>
      <c r="G1606" s="42"/>
      <c r="H1606" s="54" t="s">
        <v>257</v>
      </c>
      <c r="I1606" s="75"/>
      <c r="J1606" s="75"/>
      <c r="K1606" s="213"/>
      <c r="L1606" s="99"/>
      <c r="M1606" s="75">
        <v>65060</v>
      </c>
      <c r="N1606" s="75">
        <v>32530</v>
      </c>
      <c r="O1606" s="189">
        <f t="shared" si="131"/>
        <v>50</v>
      </c>
      <c r="P1606" s="99"/>
      <c r="Q1606" s="75">
        <f t="shared" si="136"/>
        <v>65060</v>
      </c>
      <c r="R1606" s="75">
        <f t="shared" si="137"/>
        <v>32530</v>
      </c>
      <c r="S1606" s="188">
        <f t="shared" si="130"/>
        <v>50</v>
      </c>
    </row>
    <row r="1607" spans="2:19" ht="12.75">
      <c r="B1607" s="28">
        <f t="shared" si="134"/>
        <v>59</v>
      </c>
      <c r="C1607" s="5"/>
      <c r="D1607" s="5"/>
      <c r="E1607" s="5"/>
      <c r="F1607" s="33"/>
      <c r="G1607" s="42"/>
      <c r="H1607" s="102" t="s">
        <v>427</v>
      </c>
      <c r="I1607" s="75"/>
      <c r="J1607" s="75"/>
      <c r="K1607" s="213"/>
      <c r="L1607" s="99"/>
      <c r="M1607" s="75">
        <v>35000</v>
      </c>
      <c r="N1607" s="75">
        <v>0</v>
      </c>
      <c r="O1607" s="189">
        <f t="shared" si="131"/>
        <v>0</v>
      </c>
      <c r="P1607" s="99"/>
      <c r="Q1607" s="75">
        <f t="shared" si="136"/>
        <v>35000</v>
      </c>
      <c r="R1607" s="75">
        <f t="shared" si="137"/>
        <v>0</v>
      </c>
      <c r="S1607" s="188">
        <f t="shared" si="130"/>
        <v>0</v>
      </c>
    </row>
    <row r="1608" spans="2:19" ht="15">
      <c r="B1608" s="28">
        <f t="shared" si="134"/>
        <v>60</v>
      </c>
      <c r="C1608" s="7">
        <v>3</v>
      </c>
      <c r="D1608" s="277" t="s">
        <v>254</v>
      </c>
      <c r="E1608" s="278"/>
      <c r="F1608" s="278"/>
      <c r="G1608" s="278"/>
      <c r="H1608" s="279"/>
      <c r="I1608" s="79">
        <f>I1609+I1612+I1623</f>
        <v>44600</v>
      </c>
      <c r="J1608" s="79">
        <f>J1609+J1612+J1623</f>
        <v>3900</v>
      </c>
      <c r="K1608" s="218">
        <f t="shared" si="135"/>
        <v>8.74439461883408</v>
      </c>
      <c r="L1608" s="175"/>
      <c r="M1608" s="79">
        <f>M1615</f>
        <v>145601</v>
      </c>
      <c r="N1608" s="79">
        <f>N1615</f>
        <v>27643</v>
      </c>
      <c r="O1608" s="189">
        <f t="shared" si="131"/>
        <v>18.98544652852659</v>
      </c>
      <c r="P1608" s="175"/>
      <c r="Q1608" s="79">
        <f t="shared" si="136"/>
        <v>190201</v>
      </c>
      <c r="R1608" s="79">
        <f t="shared" si="137"/>
        <v>31543</v>
      </c>
      <c r="S1608" s="188">
        <f t="shared" si="130"/>
        <v>16.584034784254552</v>
      </c>
    </row>
    <row r="1609" spans="2:19" ht="12.75">
      <c r="B1609" s="28">
        <f t="shared" si="134"/>
        <v>61</v>
      </c>
      <c r="C1609" s="9"/>
      <c r="D1609" s="9"/>
      <c r="E1609" s="9"/>
      <c r="F1609" s="31" t="s">
        <v>253</v>
      </c>
      <c r="G1609" s="40">
        <v>630</v>
      </c>
      <c r="H1609" s="9" t="s">
        <v>125</v>
      </c>
      <c r="I1609" s="72">
        <f>I1610+I1611</f>
        <v>18400</v>
      </c>
      <c r="J1609" s="72">
        <f>J1610+J1611</f>
        <v>3900</v>
      </c>
      <c r="K1609" s="215">
        <f t="shared" si="135"/>
        <v>21.195652173913043</v>
      </c>
      <c r="L1609" s="177"/>
      <c r="M1609" s="72"/>
      <c r="N1609" s="72"/>
      <c r="O1609" s="189"/>
      <c r="P1609" s="177"/>
      <c r="Q1609" s="72">
        <f t="shared" si="136"/>
        <v>18400</v>
      </c>
      <c r="R1609" s="72">
        <f t="shared" si="137"/>
        <v>3900</v>
      </c>
      <c r="S1609" s="188">
        <f t="shared" si="130"/>
        <v>21.195652173913043</v>
      </c>
    </row>
    <row r="1610" spans="2:19" ht="12.75">
      <c r="B1610" s="28">
        <f t="shared" si="134"/>
        <v>62</v>
      </c>
      <c r="C1610" s="4"/>
      <c r="D1610" s="4"/>
      <c r="E1610" s="4"/>
      <c r="F1610" s="32" t="s">
        <v>253</v>
      </c>
      <c r="G1610" s="41">
        <v>633</v>
      </c>
      <c r="H1610" s="4" t="s">
        <v>129</v>
      </c>
      <c r="I1610" s="71">
        <v>100</v>
      </c>
      <c r="J1610" s="71">
        <v>0</v>
      </c>
      <c r="K1610" s="213">
        <f t="shared" si="135"/>
        <v>0</v>
      </c>
      <c r="L1610" s="178"/>
      <c r="M1610" s="71"/>
      <c r="N1610" s="71"/>
      <c r="O1610" s="189"/>
      <c r="P1610" s="178"/>
      <c r="Q1610" s="71">
        <f t="shared" si="136"/>
        <v>100</v>
      </c>
      <c r="R1610" s="71">
        <f t="shared" si="137"/>
        <v>0</v>
      </c>
      <c r="S1610" s="188">
        <f t="shared" si="130"/>
        <v>0</v>
      </c>
    </row>
    <row r="1611" spans="2:19" ht="12.75">
      <c r="B1611" s="28">
        <f t="shared" si="134"/>
        <v>63</v>
      </c>
      <c r="C1611" s="4"/>
      <c r="D1611" s="4"/>
      <c r="E1611" s="4"/>
      <c r="F1611" s="32" t="s">
        <v>253</v>
      </c>
      <c r="G1611" s="41">
        <v>637</v>
      </c>
      <c r="H1611" s="4" t="s">
        <v>126</v>
      </c>
      <c r="I1611" s="71">
        <v>18300</v>
      </c>
      <c r="J1611" s="71">
        <v>3900</v>
      </c>
      <c r="K1611" s="213">
        <f t="shared" si="135"/>
        <v>21.311475409836063</v>
      </c>
      <c r="L1611" s="178"/>
      <c r="M1611" s="71"/>
      <c r="N1611" s="71"/>
      <c r="O1611" s="189"/>
      <c r="P1611" s="178"/>
      <c r="Q1611" s="71">
        <f t="shared" si="136"/>
        <v>18300</v>
      </c>
      <c r="R1611" s="71">
        <f t="shared" si="137"/>
        <v>3900</v>
      </c>
      <c r="S1611" s="188">
        <f t="shared" si="130"/>
        <v>21.311475409836063</v>
      </c>
    </row>
    <row r="1612" spans="2:19" ht="12.75">
      <c r="B1612" s="28">
        <f t="shared" si="134"/>
        <v>64</v>
      </c>
      <c r="C1612" s="9"/>
      <c r="D1612" s="9"/>
      <c r="E1612" s="9"/>
      <c r="F1612" s="31" t="s">
        <v>253</v>
      </c>
      <c r="G1612" s="40">
        <v>640</v>
      </c>
      <c r="H1612" s="9" t="s">
        <v>132</v>
      </c>
      <c r="I1612" s="72">
        <f>I1613</f>
        <v>13200</v>
      </c>
      <c r="J1612" s="72">
        <f>J1613</f>
        <v>0</v>
      </c>
      <c r="K1612" s="215">
        <f t="shared" si="135"/>
        <v>0</v>
      </c>
      <c r="L1612" s="177"/>
      <c r="M1612" s="72"/>
      <c r="N1612" s="72"/>
      <c r="O1612" s="189"/>
      <c r="P1612" s="177"/>
      <c r="Q1612" s="72">
        <f t="shared" si="136"/>
        <v>13200</v>
      </c>
      <c r="R1612" s="72">
        <f t="shared" si="137"/>
        <v>0</v>
      </c>
      <c r="S1612" s="188">
        <f t="shared" si="130"/>
        <v>0</v>
      </c>
    </row>
    <row r="1613" spans="2:19" ht="12.75">
      <c r="B1613" s="28">
        <f t="shared" si="134"/>
        <v>65</v>
      </c>
      <c r="C1613" s="4"/>
      <c r="D1613" s="4"/>
      <c r="E1613" s="4"/>
      <c r="F1613" s="32" t="s">
        <v>253</v>
      </c>
      <c r="G1613" s="41">
        <v>642</v>
      </c>
      <c r="H1613" s="4" t="s">
        <v>133</v>
      </c>
      <c r="I1613" s="71">
        <f>SUM(I1614:I1614)</f>
        <v>13200</v>
      </c>
      <c r="J1613" s="71">
        <f>SUM(J1614:J1614)</f>
        <v>0</v>
      </c>
      <c r="K1613" s="213">
        <f t="shared" si="135"/>
        <v>0</v>
      </c>
      <c r="L1613" s="178"/>
      <c r="M1613" s="71"/>
      <c r="N1613" s="71"/>
      <c r="O1613" s="189"/>
      <c r="P1613" s="178"/>
      <c r="Q1613" s="71">
        <f t="shared" si="136"/>
        <v>13200</v>
      </c>
      <c r="R1613" s="71">
        <f t="shared" si="137"/>
        <v>0</v>
      </c>
      <c r="S1613" s="188">
        <f aca="true" t="shared" si="138" ref="S1613:S1649">R1613/Q1613*100</f>
        <v>0</v>
      </c>
    </row>
    <row r="1614" spans="2:19" ht="12.75">
      <c r="B1614" s="28">
        <f t="shared" si="134"/>
        <v>66</v>
      </c>
      <c r="C1614" s="5"/>
      <c r="D1614" s="5"/>
      <c r="E1614" s="5"/>
      <c r="F1614" s="32"/>
      <c r="G1614" s="42"/>
      <c r="H1614" s="5" t="s">
        <v>285</v>
      </c>
      <c r="I1614" s="75">
        <v>13200</v>
      </c>
      <c r="J1614" s="75">
        <v>0</v>
      </c>
      <c r="K1614" s="213">
        <f t="shared" si="135"/>
        <v>0</v>
      </c>
      <c r="L1614" s="99"/>
      <c r="M1614" s="75"/>
      <c r="N1614" s="75"/>
      <c r="O1614" s="189"/>
      <c r="P1614" s="99"/>
      <c r="Q1614" s="75">
        <f t="shared" si="136"/>
        <v>13200</v>
      </c>
      <c r="R1614" s="75">
        <f t="shared" si="137"/>
        <v>0</v>
      </c>
      <c r="S1614" s="188">
        <f t="shared" si="138"/>
        <v>0</v>
      </c>
    </row>
    <row r="1615" spans="2:19" ht="12.75">
      <c r="B1615" s="28">
        <f t="shared" si="134"/>
        <v>67</v>
      </c>
      <c r="C1615" s="9"/>
      <c r="D1615" s="9"/>
      <c r="E1615" s="9"/>
      <c r="F1615" s="31" t="s">
        <v>253</v>
      </c>
      <c r="G1615" s="40">
        <v>710</v>
      </c>
      <c r="H1615" s="9" t="s">
        <v>180</v>
      </c>
      <c r="I1615" s="72"/>
      <c r="J1615" s="72"/>
      <c r="K1615" s="215"/>
      <c r="L1615" s="177"/>
      <c r="M1615" s="72">
        <f>M1616+M1618+M1621</f>
        <v>145601</v>
      </c>
      <c r="N1615" s="72">
        <f>N1616+N1618+N1621</f>
        <v>27643</v>
      </c>
      <c r="O1615" s="189">
        <f aca="true" t="shared" si="139" ref="O1615:O1622">N1615/M1615*100</f>
        <v>18.98544652852659</v>
      </c>
      <c r="P1615" s="177"/>
      <c r="Q1615" s="72">
        <f t="shared" si="136"/>
        <v>145601</v>
      </c>
      <c r="R1615" s="72">
        <f t="shared" si="137"/>
        <v>27643</v>
      </c>
      <c r="S1615" s="188">
        <f t="shared" si="138"/>
        <v>18.98544652852659</v>
      </c>
    </row>
    <row r="1616" spans="2:19" ht="12.75">
      <c r="B1616" s="28">
        <f aca="true" t="shared" si="140" ref="B1616:B1624">B1615+1</f>
        <v>68</v>
      </c>
      <c r="C1616" s="4"/>
      <c r="D1616" s="4"/>
      <c r="E1616" s="4"/>
      <c r="F1616" s="32" t="s">
        <v>253</v>
      </c>
      <c r="G1616" s="41">
        <v>711</v>
      </c>
      <c r="H1616" s="4" t="s">
        <v>218</v>
      </c>
      <c r="I1616" s="71"/>
      <c r="J1616" s="71"/>
      <c r="K1616" s="213"/>
      <c r="L1616" s="178"/>
      <c r="M1616" s="71">
        <f>M1617</f>
        <v>85921</v>
      </c>
      <c r="N1616" s="71">
        <f>N1617</f>
        <v>21578</v>
      </c>
      <c r="O1616" s="189">
        <f t="shared" si="139"/>
        <v>25.113767297866644</v>
      </c>
      <c r="P1616" s="178"/>
      <c r="Q1616" s="71">
        <f t="shared" si="136"/>
        <v>85921</v>
      </c>
      <c r="R1616" s="71">
        <f t="shared" si="137"/>
        <v>21578</v>
      </c>
      <c r="S1616" s="188">
        <f t="shared" si="138"/>
        <v>25.113767297866644</v>
      </c>
    </row>
    <row r="1617" spans="2:19" ht="12.75">
      <c r="B1617" s="28">
        <f t="shared" si="140"/>
        <v>69</v>
      </c>
      <c r="C1617" s="5"/>
      <c r="D1617" s="5"/>
      <c r="E1617" s="5"/>
      <c r="F1617" s="33"/>
      <c r="G1617" s="42"/>
      <c r="H1617" s="5" t="s">
        <v>383</v>
      </c>
      <c r="I1617" s="75"/>
      <c r="J1617" s="75"/>
      <c r="K1617" s="213"/>
      <c r="L1617" s="99"/>
      <c r="M1617" s="75">
        <f>10000+41421+34500</f>
        <v>85921</v>
      </c>
      <c r="N1617" s="75">
        <v>21578</v>
      </c>
      <c r="O1617" s="189">
        <f t="shared" si="139"/>
        <v>25.113767297866644</v>
      </c>
      <c r="P1617" s="99"/>
      <c r="Q1617" s="75">
        <f t="shared" si="136"/>
        <v>85921</v>
      </c>
      <c r="R1617" s="75">
        <f t="shared" si="137"/>
        <v>21578</v>
      </c>
      <c r="S1617" s="188">
        <f t="shared" si="138"/>
        <v>25.113767297866644</v>
      </c>
    </row>
    <row r="1618" spans="2:19" ht="12.75">
      <c r="B1618" s="28">
        <f t="shared" si="140"/>
        <v>70</v>
      </c>
      <c r="C1618" s="5"/>
      <c r="D1618" s="5"/>
      <c r="E1618" s="5"/>
      <c r="F1618" s="33"/>
      <c r="G1618" s="41">
        <v>716</v>
      </c>
      <c r="H1618" s="4" t="s">
        <v>225</v>
      </c>
      <c r="I1618" s="71"/>
      <c r="J1618" s="71"/>
      <c r="K1618" s="213"/>
      <c r="L1618" s="178"/>
      <c r="M1618" s="71">
        <f>SUM(M1619:M1620)</f>
        <v>53500</v>
      </c>
      <c r="N1618" s="71">
        <f>SUM(N1619:N1620)</f>
        <v>0</v>
      </c>
      <c r="O1618" s="189">
        <f t="shared" si="139"/>
        <v>0</v>
      </c>
      <c r="P1618" s="178"/>
      <c r="Q1618" s="75">
        <f t="shared" si="136"/>
        <v>53500</v>
      </c>
      <c r="R1618" s="75">
        <f t="shared" si="137"/>
        <v>0</v>
      </c>
      <c r="S1618" s="188">
        <f t="shared" si="138"/>
        <v>0</v>
      </c>
    </row>
    <row r="1619" spans="2:19" ht="12.75">
      <c r="B1619" s="28">
        <f t="shared" si="140"/>
        <v>71</v>
      </c>
      <c r="C1619" s="5"/>
      <c r="D1619" s="5"/>
      <c r="E1619" s="5"/>
      <c r="F1619" s="33"/>
      <c r="G1619" s="42"/>
      <c r="H1619" s="5" t="s">
        <v>508</v>
      </c>
      <c r="I1619" s="75"/>
      <c r="J1619" s="75"/>
      <c r="K1619" s="213"/>
      <c r="L1619" s="99"/>
      <c r="M1619" s="75">
        <v>50000</v>
      </c>
      <c r="N1619" s="75">
        <v>0</v>
      </c>
      <c r="O1619" s="189">
        <f t="shared" si="139"/>
        <v>0</v>
      </c>
      <c r="P1619" s="99"/>
      <c r="Q1619" s="75">
        <f t="shared" si="136"/>
        <v>50000</v>
      </c>
      <c r="R1619" s="75">
        <f t="shared" si="137"/>
        <v>0</v>
      </c>
      <c r="S1619" s="188">
        <f t="shared" si="138"/>
        <v>0</v>
      </c>
    </row>
    <row r="1620" spans="2:19" ht="12.75">
      <c r="B1620" s="28">
        <f t="shared" si="140"/>
        <v>72</v>
      </c>
      <c r="C1620" s="5"/>
      <c r="D1620" s="5"/>
      <c r="E1620" s="5"/>
      <c r="F1620" s="33"/>
      <c r="G1620" s="42"/>
      <c r="H1620" s="5" t="s">
        <v>541</v>
      </c>
      <c r="I1620" s="75"/>
      <c r="J1620" s="75"/>
      <c r="K1620" s="213"/>
      <c r="L1620" s="99"/>
      <c r="M1620" s="75">
        <v>3500</v>
      </c>
      <c r="N1620" s="75">
        <v>0</v>
      </c>
      <c r="O1620" s="189">
        <f t="shared" si="139"/>
        <v>0</v>
      </c>
      <c r="P1620" s="99"/>
      <c r="Q1620" s="75">
        <f t="shared" si="136"/>
        <v>3500</v>
      </c>
      <c r="R1620" s="75">
        <f t="shared" si="137"/>
        <v>0</v>
      </c>
      <c r="S1620" s="188">
        <f t="shared" si="138"/>
        <v>0</v>
      </c>
    </row>
    <row r="1621" spans="2:19" ht="12.75">
      <c r="B1621" s="28">
        <f t="shared" si="140"/>
        <v>73</v>
      </c>
      <c r="C1621" s="5"/>
      <c r="D1621" s="5"/>
      <c r="E1621" s="5"/>
      <c r="F1621" s="32" t="s">
        <v>253</v>
      </c>
      <c r="G1621" s="41">
        <v>717</v>
      </c>
      <c r="H1621" s="4" t="s">
        <v>190</v>
      </c>
      <c r="I1621" s="71"/>
      <c r="J1621" s="71"/>
      <c r="K1621" s="213"/>
      <c r="L1621" s="178"/>
      <c r="M1621" s="71">
        <f>M1622+M1623</f>
        <v>6180</v>
      </c>
      <c r="N1621" s="71">
        <f>N1622+N1623</f>
        <v>6065</v>
      </c>
      <c r="O1621" s="189">
        <f t="shared" si="139"/>
        <v>98.13915857605178</v>
      </c>
      <c r="P1621" s="178"/>
      <c r="Q1621" s="71">
        <f t="shared" si="136"/>
        <v>6180</v>
      </c>
      <c r="R1621" s="71">
        <f t="shared" si="137"/>
        <v>6065</v>
      </c>
      <c r="S1621" s="188">
        <f t="shared" si="138"/>
        <v>98.13915857605178</v>
      </c>
    </row>
    <row r="1622" spans="2:19" ht="12.75">
      <c r="B1622" s="28">
        <f t="shared" si="140"/>
        <v>74</v>
      </c>
      <c r="C1622" s="5"/>
      <c r="D1622" s="5"/>
      <c r="E1622" s="5"/>
      <c r="F1622" s="33"/>
      <c r="G1622" s="42"/>
      <c r="H1622" s="54" t="s">
        <v>528</v>
      </c>
      <c r="I1622" s="75"/>
      <c r="J1622" s="75"/>
      <c r="K1622" s="213"/>
      <c r="L1622" s="99"/>
      <c r="M1622" s="75">
        <f>5380+800</f>
        <v>6180</v>
      </c>
      <c r="N1622" s="75">
        <v>6065</v>
      </c>
      <c r="O1622" s="189">
        <f t="shared" si="139"/>
        <v>98.13915857605178</v>
      </c>
      <c r="P1622" s="99"/>
      <c r="Q1622" s="75">
        <f t="shared" si="136"/>
        <v>6180</v>
      </c>
      <c r="R1622" s="75">
        <f t="shared" si="137"/>
        <v>6065</v>
      </c>
      <c r="S1622" s="188">
        <f t="shared" si="138"/>
        <v>98.13915857605178</v>
      </c>
    </row>
    <row r="1623" spans="2:19" ht="15">
      <c r="B1623" s="28">
        <f t="shared" si="140"/>
        <v>75</v>
      </c>
      <c r="C1623" s="12"/>
      <c r="D1623" s="12"/>
      <c r="E1623" s="12">
        <v>2</v>
      </c>
      <c r="F1623" s="35"/>
      <c r="G1623" s="43"/>
      <c r="H1623" s="12" t="s">
        <v>15</v>
      </c>
      <c r="I1623" s="82">
        <f>I1624</f>
        <v>13000</v>
      </c>
      <c r="J1623" s="82">
        <f>J1624</f>
        <v>0</v>
      </c>
      <c r="K1623" s="216">
        <f aca="true" t="shared" si="141" ref="K1623:K1649">J1623/I1623*100</f>
        <v>0</v>
      </c>
      <c r="L1623" s="182"/>
      <c r="M1623" s="82"/>
      <c r="N1623" s="82"/>
      <c r="O1623" s="189"/>
      <c r="P1623" s="182"/>
      <c r="Q1623" s="82">
        <f t="shared" si="136"/>
        <v>13000</v>
      </c>
      <c r="R1623" s="82">
        <f t="shared" si="137"/>
        <v>0</v>
      </c>
      <c r="S1623" s="188">
        <f t="shared" si="138"/>
        <v>0</v>
      </c>
    </row>
    <row r="1624" spans="2:19" ht="12.75">
      <c r="B1624" s="28">
        <f t="shared" si="140"/>
        <v>76</v>
      </c>
      <c r="C1624" s="9"/>
      <c r="D1624" s="9"/>
      <c r="E1624" s="9"/>
      <c r="F1624" s="31" t="s">
        <v>200</v>
      </c>
      <c r="G1624" s="40">
        <v>630</v>
      </c>
      <c r="H1624" s="9" t="s">
        <v>125</v>
      </c>
      <c r="I1624" s="72">
        <f>I1625</f>
        <v>13000</v>
      </c>
      <c r="J1624" s="72">
        <f>J1625</f>
        <v>0</v>
      </c>
      <c r="K1624" s="215">
        <f t="shared" si="141"/>
        <v>0</v>
      </c>
      <c r="L1624" s="177"/>
      <c r="M1624" s="72"/>
      <c r="N1624" s="72"/>
      <c r="O1624" s="189"/>
      <c r="P1624" s="177"/>
      <c r="Q1624" s="72">
        <f aca="true" t="shared" si="142" ref="Q1624:Q1649">M1624+I1624</f>
        <v>13000</v>
      </c>
      <c r="R1624" s="72">
        <f aca="true" t="shared" si="143" ref="R1624:R1649">N1624+J1624</f>
        <v>0</v>
      </c>
      <c r="S1624" s="188">
        <f t="shared" si="138"/>
        <v>0</v>
      </c>
    </row>
    <row r="1625" spans="2:19" ht="12.75">
      <c r="B1625" s="28">
        <f aca="true" t="shared" si="144" ref="B1625:B1649">B1624+1</f>
        <v>77</v>
      </c>
      <c r="C1625" s="4"/>
      <c r="D1625" s="4"/>
      <c r="E1625" s="4"/>
      <c r="F1625" s="32" t="s">
        <v>200</v>
      </c>
      <c r="G1625" s="41">
        <v>635</v>
      </c>
      <c r="H1625" s="4" t="s">
        <v>136</v>
      </c>
      <c r="I1625" s="71">
        <v>13000</v>
      </c>
      <c r="J1625" s="71">
        <v>0</v>
      </c>
      <c r="K1625" s="213">
        <f t="shared" si="141"/>
        <v>0</v>
      </c>
      <c r="L1625" s="178"/>
      <c r="M1625" s="71"/>
      <c r="N1625" s="71"/>
      <c r="O1625" s="189"/>
      <c r="P1625" s="178"/>
      <c r="Q1625" s="71">
        <f t="shared" si="142"/>
        <v>13000</v>
      </c>
      <c r="R1625" s="71">
        <f t="shared" si="143"/>
        <v>0</v>
      </c>
      <c r="S1625" s="188">
        <f t="shared" si="138"/>
        <v>0</v>
      </c>
    </row>
    <row r="1626" spans="2:19" ht="15">
      <c r="B1626" s="28">
        <f t="shared" si="144"/>
        <v>78</v>
      </c>
      <c r="C1626" s="7">
        <v>4</v>
      </c>
      <c r="D1626" s="277" t="s">
        <v>60</v>
      </c>
      <c r="E1626" s="278"/>
      <c r="F1626" s="278"/>
      <c r="G1626" s="278"/>
      <c r="H1626" s="279"/>
      <c r="I1626" s="79">
        <f aca="true" t="shared" si="145" ref="I1626:J1628">I1627</f>
        <v>25000</v>
      </c>
      <c r="J1626" s="79">
        <f t="shared" si="145"/>
        <v>14000</v>
      </c>
      <c r="K1626" s="218">
        <f t="shared" si="141"/>
        <v>56.00000000000001</v>
      </c>
      <c r="L1626" s="175"/>
      <c r="M1626" s="79"/>
      <c r="N1626" s="79"/>
      <c r="O1626" s="189"/>
      <c r="P1626" s="175"/>
      <c r="Q1626" s="79">
        <f t="shared" si="142"/>
        <v>25000</v>
      </c>
      <c r="R1626" s="79">
        <f t="shared" si="143"/>
        <v>14000</v>
      </c>
      <c r="S1626" s="188">
        <f t="shared" si="138"/>
        <v>56.00000000000001</v>
      </c>
    </row>
    <row r="1627" spans="2:19" ht="12.75">
      <c r="B1627" s="28">
        <f t="shared" si="144"/>
        <v>79</v>
      </c>
      <c r="C1627" s="9"/>
      <c r="D1627" s="9"/>
      <c r="E1627" s="9"/>
      <c r="F1627" s="31" t="s">
        <v>200</v>
      </c>
      <c r="G1627" s="40">
        <v>640</v>
      </c>
      <c r="H1627" s="9" t="s">
        <v>132</v>
      </c>
      <c r="I1627" s="72">
        <f t="shared" si="145"/>
        <v>25000</v>
      </c>
      <c r="J1627" s="72">
        <f t="shared" si="145"/>
        <v>14000</v>
      </c>
      <c r="K1627" s="215">
        <f t="shared" si="141"/>
        <v>56.00000000000001</v>
      </c>
      <c r="L1627" s="177"/>
      <c r="M1627" s="72"/>
      <c r="N1627" s="72"/>
      <c r="O1627" s="189"/>
      <c r="P1627" s="177"/>
      <c r="Q1627" s="72">
        <f t="shared" si="142"/>
        <v>25000</v>
      </c>
      <c r="R1627" s="72">
        <f t="shared" si="143"/>
        <v>14000</v>
      </c>
      <c r="S1627" s="188">
        <f t="shared" si="138"/>
        <v>56.00000000000001</v>
      </c>
    </row>
    <row r="1628" spans="2:19" ht="12.75">
      <c r="B1628" s="28">
        <f t="shared" si="144"/>
        <v>80</v>
      </c>
      <c r="C1628" s="4"/>
      <c r="D1628" s="55"/>
      <c r="E1628" s="55"/>
      <c r="F1628" s="56" t="s">
        <v>200</v>
      </c>
      <c r="G1628" s="57">
        <v>642</v>
      </c>
      <c r="H1628" s="55" t="s">
        <v>133</v>
      </c>
      <c r="I1628" s="71">
        <f t="shared" si="145"/>
        <v>25000</v>
      </c>
      <c r="J1628" s="71">
        <f t="shared" si="145"/>
        <v>14000</v>
      </c>
      <c r="K1628" s="213">
        <f t="shared" si="141"/>
        <v>56.00000000000001</v>
      </c>
      <c r="L1628" s="178"/>
      <c r="M1628" s="71"/>
      <c r="N1628" s="71"/>
      <c r="O1628" s="189"/>
      <c r="P1628" s="178"/>
      <c r="Q1628" s="71">
        <f t="shared" si="142"/>
        <v>25000</v>
      </c>
      <c r="R1628" s="71">
        <f t="shared" si="143"/>
        <v>14000</v>
      </c>
      <c r="S1628" s="188">
        <f t="shared" si="138"/>
        <v>56.00000000000001</v>
      </c>
    </row>
    <row r="1629" spans="2:19" ht="12.75">
      <c r="B1629" s="28">
        <f t="shared" si="144"/>
        <v>81</v>
      </c>
      <c r="C1629" s="29"/>
      <c r="D1629" s="59"/>
      <c r="E1629" s="59"/>
      <c r="F1629" s="60"/>
      <c r="G1629" s="58"/>
      <c r="H1629" s="30" t="s">
        <v>367</v>
      </c>
      <c r="I1629" s="83">
        <v>25000</v>
      </c>
      <c r="J1629" s="83">
        <v>14000</v>
      </c>
      <c r="K1629" s="214">
        <f t="shared" si="141"/>
        <v>56.00000000000001</v>
      </c>
      <c r="L1629" s="107"/>
      <c r="M1629" s="83"/>
      <c r="N1629" s="83"/>
      <c r="O1629" s="189"/>
      <c r="P1629" s="107"/>
      <c r="Q1629" s="83">
        <f t="shared" si="142"/>
        <v>25000</v>
      </c>
      <c r="R1629" s="83">
        <f t="shared" si="143"/>
        <v>14000</v>
      </c>
      <c r="S1629" s="188">
        <f t="shared" si="138"/>
        <v>56.00000000000001</v>
      </c>
    </row>
    <row r="1630" spans="2:19" ht="15">
      <c r="B1630" s="28">
        <f t="shared" si="144"/>
        <v>82</v>
      </c>
      <c r="C1630" s="7">
        <v>5</v>
      </c>
      <c r="D1630" s="277" t="s">
        <v>40</v>
      </c>
      <c r="E1630" s="278"/>
      <c r="F1630" s="278"/>
      <c r="G1630" s="278"/>
      <c r="H1630" s="279"/>
      <c r="I1630" s="79">
        <f>I1631</f>
        <v>17500</v>
      </c>
      <c r="J1630" s="79">
        <f>J1631</f>
        <v>2898</v>
      </c>
      <c r="K1630" s="218">
        <f t="shared" si="141"/>
        <v>16.56</v>
      </c>
      <c r="L1630" s="175"/>
      <c r="M1630" s="79"/>
      <c r="N1630" s="79"/>
      <c r="O1630" s="189"/>
      <c r="P1630" s="175"/>
      <c r="Q1630" s="79">
        <f t="shared" si="142"/>
        <v>17500</v>
      </c>
      <c r="R1630" s="79">
        <f t="shared" si="143"/>
        <v>2898</v>
      </c>
      <c r="S1630" s="188">
        <f t="shared" si="138"/>
        <v>16.56</v>
      </c>
    </row>
    <row r="1631" spans="2:19" ht="15">
      <c r="B1631" s="28">
        <f t="shared" si="144"/>
        <v>83</v>
      </c>
      <c r="C1631" s="12"/>
      <c r="D1631" s="12"/>
      <c r="E1631" s="12">
        <v>2</v>
      </c>
      <c r="F1631" s="35"/>
      <c r="G1631" s="43"/>
      <c r="H1631" s="12" t="s">
        <v>15</v>
      </c>
      <c r="I1631" s="82">
        <f>I1632</f>
        <v>17500</v>
      </c>
      <c r="J1631" s="82">
        <f>J1632</f>
        <v>2898</v>
      </c>
      <c r="K1631" s="216">
        <f t="shared" si="141"/>
        <v>16.56</v>
      </c>
      <c r="L1631" s="182"/>
      <c r="M1631" s="82"/>
      <c r="N1631" s="82"/>
      <c r="O1631" s="189"/>
      <c r="P1631" s="182"/>
      <c r="Q1631" s="82">
        <f t="shared" si="142"/>
        <v>17500</v>
      </c>
      <c r="R1631" s="82">
        <f t="shared" si="143"/>
        <v>2898</v>
      </c>
      <c r="S1631" s="188">
        <f t="shared" si="138"/>
        <v>16.56</v>
      </c>
    </row>
    <row r="1632" spans="2:19" ht="12.75">
      <c r="B1632" s="28">
        <f t="shared" si="144"/>
        <v>84</v>
      </c>
      <c r="C1632" s="9"/>
      <c r="D1632" s="9"/>
      <c r="E1632" s="9"/>
      <c r="F1632" s="31" t="s">
        <v>200</v>
      </c>
      <c r="G1632" s="40">
        <v>630</v>
      </c>
      <c r="H1632" s="9" t="s">
        <v>125</v>
      </c>
      <c r="I1632" s="72">
        <f>SUM(I1633:I1636)</f>
        <v>17500</v>
      </c>
      <c r="J1632" s="72">
        <f>SUM(J1633:J1636)</f>
        <v>2898</v>
      </c>
      <c r="K1632" s="215">
        <f t="shared" si="141"/>
        <v>16.56</v>
      </c>
      <c r="L1632" s="177"/>
      <c r="M1632" s="72"/>
      <c r="N1632" s="72"/>
      <c r="O1632" s="189"/>
      <c r="P1632" s="177"/>
      <c r="Q1632" s="72">
        <f t="shared" si="142"/>
        <v>17500</v>
      </c>
      <c r="R1632" s="72">
        <f t="shared" si="143"/>
        <v>2898</v>
      </c>
      <c r="S1632" s="188">
        <f t="shared" si="138"/>
        <v>16.56</v>
      </c>
    </row>
    <row r="1633" spans="2:19" ht="12.75">
      <c r="B1633" s="28">
        <f t="shared" si="144"/>
        <v>85</v>
      </c>
      <c r="C1633" s="4"/>
      <c r="D1633" s="4"/>
      <c r="E1633" s="4"/>
      <c r="F1633" s="32" t="s">
        <v>200</v>
      </c>
      <c r="G1633" s="41">
        <v>632</v>
      </c>
      <c r="H1633" s="4" t="s">
        <v>138</v>
      </c>
      <c r="I1633" s="71">
        <v>10300</v>
      </c>
      <c r="J1633" s="71">
        <v>942</v>
      </c>
      <c r="K1633" s="213">
        <f t="shared" si="141"/>
        <v>9.145631067961164</v>
      </c>
      <c r="L1633" s="178"/>
      <c r="M1633" s="71"/>
      <c r="N1633" s="71"/>
      <c r="O1633" s="189"/>
      <c r="P1633" s="178"/>
      <c r="Q1633" s="71">
        <f t="shared" si="142"/>
        <v>10300</v>
      </c>
      <c r="R1633" s="71">
        <f t="shared" si="143"/>
        <v>942</v>
      </c>
      <c r="S1633" s="188">
        <f t="shared" si="138"/>
        <v>9.145631067961164</v>
      </c>
    </row>
    <row r="1634" spans="2:19" ht="12.75">
      <c r="B1634" s="28">
        <f t="shared" si="144"/>
        <v>86</v>
      </c>
      <c r="C1634" s="4"/>
      <c r="D1634" s="4"/>
      <c r="E1634" s="4"/>
      <c r="F1634" s="32" t="s">
        <v>200</v>
      </c>
      <c r="G1634" s="41">
        <v>633</v>
      </c>
      <c r="H1634" s="4" t="s">
        <v>129</v>
      </c>
      <c r="I1634" s="71">
        <v>5000</v>
      </c>
      <c r="J1634" s="71">
        <v>1609</v>
      </c>
      <c r="K1634" s="213">
        <f t="shared" si="141"/>
        <v>32.18</v>
      </c>
      <c r="L1634" s="178"/>
      <c r="M1634" s="71"/>
      <c r="N1634" s="71"/>
      <c r="O1634" s="189"/>
      <c r="P1634" s="178"/>
      <c r="Q1634" s="71">
        <f t="shared" si="142"/>
        <v>5000</v>
      </c>
      <c r="R1634" s="71">
        <f t="shared" si="143"/>
        <v>1609</v>
      </c>
      <c r="S1634" s="188">
        <f t="shared" si="138"/>
        <v>32.18</v>
      </c>
    </row>
    <row r="1635" spans="2:19" ht="12.75">
      <c r="B1635" s="28">
        <f t="shared" si="144"/>
        <v>87</v>
      </c>
      <c r="C1635" s="4"/>
      <c r="D1635" s="4"/>
      <c r="E1635" s="4"/>
      <c r="F1635" s="32" t="s">
        <v>200</v>
      </c>
      <c r="G1635" s="41">
        <v>635</v>
      </c>
      <c r="H1635" s="4" t="s">
        <v>136</v>
      </c>
      <c r="I1635" s="71">
        <v>1300</v>
      </c>
      <c r="J1635" s="71">
        <v>240</v>
      </c>
      <c r="K1635" s="213">
        <f t="shared" si="141"/>
        <v>18.461538461538463</v>
      </c>
      <c r="L1635" s="178"/>
      <c r="M1635" s="71"/>
      <c r="N1635" s="71"/>
      <c r="O1635" s="189"/>
      <c r="P1635" s="178"/>
      <c r="Q1635" s="71">
        <f t="shared" si="142"/>
        <v>1300</v>
      </c>
      <c r="R1635" s="71">
        <f t="shared" si="143"/>
        <v>240</v>
      </c>
      <c r="S1635" s="188">
        <f t="shared" si="138"/>
        <v>18.461538461538463</v>
      </c>
    </row>
    <row r="1636" spans="2:19" ht="12.75">
      <c r="B1636" s="28">
        <f t="shared" si="144"/>
        <v>88</v>
      </c>
      <c r="C1636" s="4"/>
      <c r="D1636" s="4"/>
      <c r="E1636" s="4"/>
      <c r="F1636" s="32" t="s">
        <v>200</v>
      </c>
      <c r="G1636" s="41">
        <v>637</v>
      </c>
      <c r="H1636" s="4" t="s">
        <v>126</v>
      </c>
      <c r="I1636" s="71">
        <v>900</v>
      </c>
      <c r="J1636" s="71">
        <v>107</v>
      </c>
      <c r="K1636" s="213">
        <f t="shared" si="141"/>
        <v>11.88888888888889</v>
      </c>
      <c r="L1636" s="178"/>
      <c r="M1636" s="71"/>
      <c r="N1636" s="71"/>
      <c r="O1636" s="189"/>
      <c r="P1636" s="178"/>
      <c r="Q1636" s="71">
        <f t="shared" si="142"/>
        <v>900</v>
      </c>
      <c r="R1636" s="71">
        <f t="shared" si="143"/>
        <v>107</v>
      </c>
      <c r="S1636" s="188">
        <f t="shared" si="138"/>
        <v>11.88888888888889</v>
      </c>
    </row>
    <row r="1637" spans="2:19" ht="15">
      <c r="B1637" s="28">
        <f t="shared" si="144"/>
        <v>89</v>
      </c>
      <c r="C1637" s="7">
        <v>6</v>
      </c>
      <c r="D1637" s="277" t="s">
        <v>54</v>
      </c>
      <c r="E1637" s="278"/>
      <c r="F1637" s="278"/>
      <c r="G1637" s="278"/>
      <c r="H1637" s="279"/>
      <c r="I1637" s="79">
        <f>I1638</f>
        <v>429175</v>
      </c>
      <c r="J1637" s="79">
        <f>J1638</f>
        <v>164366</v>
      </c>
      <c r="K1637" s="218">
        <f t="shared" si="141"/>
        <v>38.29813013339547</v>
      </c>
      <c r="L1637" s="175"/>
      <c r="M1637" s="79"/>
      <c r="N1637" s="79"/>
      <c r="O1637" s="189"/>
      <c r="P1637" s="175"/>
      <c r="Q1637" s="79">
        <f t="shared" si="142"/>
        <v>429175</v>
      </c>
      <c r="R1637" s="79">
        <f t="shared" si="143"/>
        <v>164366</v>
      </c>
      <c r="S1637" s="188">
        <f t="shared" si="138"/>
        <v>38.29813013339547</v>
      </c>
    </row>
    <row r="1638" spans="2:19" ht="15">
      <c r="B1638" s="28">
        <f t="shared" si="144"/>
        <v>90</v>
      </c>
      <c r="C1638" s="12"/>
      <c r="D1638" s="12"/>
      <c r="E1638" s="12">
        <v>2</v>
      </c>
      <c r="F1638" s="35"/>
      <c r="G1638" s="43"/>
      <c r="H1638" s="12" t="s">
        <v>15</v>
      </c>
      <c r="I1638" s="82">
        <f>I1639+I1640+I1641+I1649</f>
        <v>429175</v>
      </c>
      <c r="J1638" s="82">
        <f>J1639+J1640+J1641+J1649</f>
        <v>164366</v>
      </c>
      <c r="K1638" s="216">
        <f t="shared" si="141"/>
        <v>38.29813013339547</v>
      </c>
      <c r="L1638" s="182"/>
      <c r="M1638" s="82"/>
      <c r="N1638" s="82"/>
      <c r="O1638" s="189"/>
      <c r="P1638" s="182"/>
      <c r="Q1638" s="82">
        <f t="shared" si="142"/>
        <v>429175</v>
      </c>
      <c r="R1638" s="82">
        <f t="shared" si="143"/>
        <v>164366</v>
      </c>
      <c r="S1638" s="188">
        <f t="shared" si="138"/>
        <v>38.29813013339547</v>
      </c>
    </row>
    <row r="1639" spans="2:19" ht="12.75">
      <c r="B1639" s="28">
        <f t="shared" si="144"/>
        <v>91</v>
      </c>
      <c r="C1639" s="9"/>
      <c r="D1639" s="9"/>
      <c r="E1639" s="9"/>
      <c r="F1639" s="31" t="s">
        <v>200</v>
      </c>
      <c r="G1639" s="40">
        <v>610</v>
      </c>
      <c r="H1639" s="9" t="s">
        <v>134</v>
      </c>
      <c r="I1639" s="72">
        <v>232090</v>
      </c>
      <c r="J1639" s="72">
        <v>97392</v>
      </c>
      <c r="K1639" s="215">
        <f t="shared" si="141"/>
        <v>41.963031582575724</v>
      </c>
      <c r="L1639" s="177"/>
      <c r="M1639" s="72"/>
      <c r="N1639" s="72"/>
      <c r="O1639" s="189"/>
      <c r="P1639" s="177"/>
      <c r="Q1639" s="72">
        <f t="shared" si="142"/>
        <v>232090</v>
      </c>
      <c r="R1639" s="72">
        <f t="shared" si="143"/>
        <v>97392</v>
      </c>
      <c r="S1639" s="188">
        <f t="shared" si="138"/>
        <v>41.963031582575724</v>
      </c>
    </row>
    <row r="1640" spans="2:19" ht="12.75">
      <c r="B1640" s="28">
        <f t="shared" si="144"/>
        <v>92</v>
      </c>
      <c r="C1640" s="9"/>
      <c r="D1640" s="9"/>
      <c r="E1640" s="9"/>
      <c r="F1640" s="31" t="s">
        <v>200</v>
      </c>
      <c r="G1640" s="40">
        <v>620</v>
      </c>
      <c r="H1640" s="9" t="s">
        <v>128</v>
      </c>
      <c r="I1640" s="72">
        <v>91460</v>
      </c>
      <c r="J1640" s="72">
        <v>30731</v>
      </c>
      <c r="K1640" s="215">
        <f t="shared" si="141"/>
        <v>33.60048108462716</v>
      </c>
      <c r="L1640" s="177"/>
      <c r="M1640" s="72"/>
      <c r="N1640" s="72"/>
      <c r="O1640" s="189"/>
      <c r="P1640" s="177"/>
      <c r="Q1640" s="72">
        <f t="shared" si="142"/>
        <v>91460</v>
      </c>
      <c r="R1640" s="72">
        <f t="shared" si="143"/>
        <v>30731</v>
      </c>
      <c r="S1640" s="188">
        <f t="shared" si="138"/>
        <v>33.60048108462716</v>
      </c>
    </row>
    <row r="1641" spans="2:19" ht="12.75">
      <c r="B1641" s="28">
        <f t="shared" si="144"/>
        <v>93</v>
      </c>
      <c r="C1641" s="9"/>
      <c r="D1641" s="9"/>
      <c r="E1641" s="9"/>
      <c r="F1641" s="31" t="s">
        <v>200</v>
      </c>
      <c r="G1641" s="40">
        <v>630</v>
      </c>
      <c r="H1641" s="9" t="s">
        <v>125</v>
      </c>
      <c r="I1641" s="72">
        <f>SUM(I1642:I1648)</f>
        <v>101175</v>
      </c>
      <c r="J1641" s="72">
        <f>SUM(J1642:J1648)</f>
        <v>35505</v>
      </c>
      <c r="K1641" s="215">
        <f t="shared" si="141"/>
        <v>35.09266123054114</v>
      </c>
      <c r="L1641" s="177"/>
      <c r="M1641" s="72"/>
      <c r="N1641" s="72"/>
      <c r="O1641" s="189"/>
      <c r="P1641" s="177"/>
      <c r="Q1641" s="72">
        <f t="shared" si="142"/>
        <v>101175</v>
      </c>
      <c r="R1641" s="72">
        <f t="shared" si="143"/>
        <v>35505</v>
      </c>
      <c r="S1641" s="188">
        <f t="shared" si="138"/>
        <v>35.09266123054114</v>
      </c>
    </row>
    <row r="1642" spans="2:19" ht="12.75">
      <c r="B1642" s="28">
        <f t="shared" si="144"/>
        <v>94</v>
      </c>
      <c r="C1642" s="4"/>
      <c r="D1642" s="4"/>
      <c r="E1642" s="4"/>
      <c r="F1642" s="32" t="s">
        <v>200</v>
      </c>
      <c r="G1642" s="41">
        <v>631</v>
      </c>
      <c r="H1642" s="4" t="s">
        <v>131</v>
      </c>
      <c r="I1642" s="71">
        <f>150+850</f>
        <v>1000</v>
      </c>
      <c r="J1642" s="71">
        <v>62</v>
      </c>
      <c r="K1642" s="213">
        <f t="shared" si="141"/>
        <v>6.2</v>
      </c>
      <c r="L1642" s="178"/>
      <c r="M1642" s="71"/>
      <c r="N1642" s="71"/>
      <c r="O1642" s="189"/>
      <c r="P1642" s="178"/>
      <c r="Q1642" s="71">
        <f t="shared" si="142"/>
        <v>1000</v>
      </c>
      <c r="R1642" s="71">
        <f t="shared" si="143"/>
        <v>62</v>
      </c>
      <c r="S1642" s="188">
        <f t="shared" si="138"/>
        <v>6.2</v>
      </c>
    </row>
    <row r="1643" spans="2:19" ht="12.75">
      <c r="B1643" s="28">
        <f t="shared" si="144"/>
        <v>95</v>
      </c>
      <c r="C1643" s="4"/>
      <c r="D1643" s="4"/>
      <c r="E1643" s="4"/>
      <c r="F1643" s="32" t="s">
        <v>200</v>
      </c>
      <c r="G1643" s="41">
        <v>632</v>
      </c>
      <c r="H1643" s="4" t="s">
        <v>138</v>
      </c>
      <c r="I1643" s="71">
        <v>7600</v>
      </c>
      <c r="J1643" s="71">
        <v>3499</v>
      </c>
      <c r="K1643" s="213">
        <f t="shared" si="141"/>
        <v>46.03947368421053</v>
      </c>
      <c r="L1643" s="178"/>
      <c r="M1643" s="71"/>
      <c r="N1643" s="71"/>
      <c r="O1643" s="189"/>
      <c r="P1643" s="178"/>
      <c r="Q1643" s="71">
        <f t="shared" si="142"/>
        <v>7600</v>
      </c>
      <c r="R1643" s="71">
        <f t="shared" si="143"/>
        <v>3499</v>
      </c>
      <c r="S1643" s="188">
        <f t="shared" si="138"/>
        <v>46.03947368421053</v>
      </c>
    </row>
    <row r="1644" spans="2:19" ht="12.75">
      <c r="B1644" s="28">
        <f t="shared" si="144"/>
        <v>96</v>
      </c>
      <c r="C1644" s="4"/>
      <c r="D1644" s="4"/>
      <c r="E1644" s="4"/>
      <c r="F1644" s="32" t="s">
        <v>200</v>
      </c>
      <c r="G1644" s="41">
        <v>633</v>
      </c>
      <c r="H1644" s="4" t="s">
        <v>129</v>
      </c>
      <c r="I1644" s="71">
        <v>16300</v>
      </c>
      <c r="J1644" s="71">
        <v>5830</v>
      </c>
      <c r="K1644" s="213">
        <f t="shared" si="141"/>
        <v>35.76687116564417</v>
      </c>
      <c r="L1644" s="178"/>
      <c r="M1644" s="71"/>
      <c r="N1644" s="71"/>
      <c r="O1644" s="189"/>
      <c r="P1644" s="178"/>
      <c r="Q1644" s="71">
        <f t="shared" si="142"/>
        <v>16300</v>
      </c>
      <c r="R1644" s="71">
        <f t="shared" si="143"/>
        <v>5830</v>
      </c>
      <c r="S1644" s="188">
        <f t="shared" si="138"/>
        <v>35.76687116564417</v>
      </c>
    </row>
    <row r="1645" spans="2:19" ht="12.75">
      <c r="B1645" s="28">
        <f t="shared" si="144"/>
        <v>97</v>
      </c>
      <c r="C1645" s="4"/>
      <c r="D1645" s="4"/>
      <c r="E1645" s="4"/>
      <c r="F1645" s="32" t="s">
        <v>200</v>
      </c>
      <c r="G1645" s="41">
        <v>634</v>
      </c>
      <c r="H1645" s="4" t="s">
        <v>135</v>
      </c>
      <c r="I1645" s="71">
        <v>18050</v>
      </c>
      <c r="J1645" s="71">
        <v>3954</v>
      </c>
      <c r="K1645" s="213">
        <f t="shared" si="141"/>
        <v>21.905817174515235</v>
      </c>
      <c r="L1645" s="178"/>
      <c r="M1645" s="71"/>
      <c r="N1645" s="71"/>
      <c r="O1645" s="189"/>
      <c r="P1645" s="178"/>
      <c r="Q1645" s="71">
        <f t="shared" si="142"/>
        <v>18050</v>
      </c>
      <c r="R1645" s="71">
        <f t="shared" si="143"/>
        <v>3954</v>
      </c>
      <c r="S1645" s="188">
        <f t="shared" si="138"/>
        <v>21.905817174515235</v>
      </c>
    </row>
    <row r="1646" spans="2:19" ht="12.75">
      <c r="B1646" s="28">
        <f t="shared" si="144"/>
        <v>98</v>
      </c>
      <c r="C1646" s="4"/>
      <c r="D1646" s="4"/>
      <c r="E1646" s="4"/>
      <c r="F1646" s="32" t="s">
        <v>200</v>
      </c>
      <c r="G1646" s="41">
        <v>635</v>
      </c>
      <c r="H1646" s="4" t="s">
        <v>136</v>
      </c>
      <c r="I1646" s="71">
        <v>2900</v>
      </c>
      <c r="J1646" s="71">
        <v>2357</v>
      </c>
      <c r="K1646" s="213">
        <f t="shared" si="141"/>
        <v>81.27586206896552</v>
      </c>
      <c r="L1646" s="178"/>
      <c r="M1646" s="71"/>
      <c r="N1646" s="71"/>
      <c r="O1646" s="189"/>
      <c r="P1646" s="178"/>
      <c r="Q1646" s="71">
        <f t="shared" si="142"/>
        <v>2900</v>
      </c>
      <c r="R1646" s="71">
        <f t="shared" si="143"/>
        <v>2357</v>
      </c>
      <c r="S1646" s="188">
        <f t="shared" si="138"/>
        <v>81.27586206896552</v>
      </c>
    </row>
    <row r="1647" spans="2:19" ht="12.75">
      <c r="B1647" s="28">
        <f t="shared" si="144"/>
        <v>99</v>
      </c>
      <c r="C1647" s="4"/>
      <c r="D1647" s="4"/>
      <c r="E1647" s="4"/>
      <c r="F1647" s="32" t="s">
        <v>200</v>
      </c>
      <c r="G1647" s="41">
        <v>637</v>
      </c>
      <c r="H1647" s="4" t="s">
        <v>126</v>
      </c>
      <c r="I1647" s="71">
        <f>60200-6350-1000</f>
        <v>52850</v>
      </c>
      <c r="J1647" s="71">
        <f>19803-J1648</f>
        <v>19421</v>
      </c>
      <c r="K1647" s="213">
        <f t="shared" si="141"/>
        <v>36.74739829706717</v>
      </c>
      <c r="L1647" s="178"/>
      <c r="M1647" s="71"/>
      <c r="N1647" s="71"/>
      <c r="O1647" s="189"/>
      <c r="P1647" s="178"/>
      <c r="Q1647" s="71">
        <f t="shared" si="142"/>
        <v>52850</v>
      </c>
      <c r="R1647" s="71">
        <f t="shared" si="143"/>
        <v>19421</v>
      </c>
      <c r="S1647" s="188">
        <f t="shared" si="138"/>
        <v>36.74739829706717</v>
      </c>
    </row>
    <row r="1648" spans="2:19" ht="12.75">
      <c r="B1648" s="28">
        <f t="shared" si="144"/>
        <v>100</v>
      </c>
      <c r="C1648" s="4"/>
      <c r="D1648" s="4"/>
      <c r="E1648" s="4"/>
      <c r="F1648" s="32" t="s">
        <v>200</v>
      </c>
      <c r="G1648" s="41">
        <v>637</v>
      </c>
      <c r="H1648" s="4" t="s">
        <v>295</v>
      </c>
      <c r="I1648" s="71">
        <v>2475</v>
      </c>
      <c r="J1648" s="71">
        <v>382</v>
      </c>
      <c r="K1648" s="213">
        <f t="shared" si="141"/>
        <v>15.434343434343434</v>
      </c>
      <c r="L1648" s="178"/>
      <c r="M1648" s="71"/>
      <c r="N1648" s="71"/>
      <c r="O1648" s="189"/>
      <c r="P1648" s="178"/>
      <c r="Q1648" s="71">
        <f t="shared" si="142"/>
        <v>2475</v>
      </c>
      <c r="R1648" s="71">
        <f t="shared" si="143"/>
        <v>382</v>
      </c>
      <c r="S1648" s="188">
        <f t="shared" si="138"/>
        <v>15.434343434343434</v>
      </c>
    </row>
    <row r="1649" spans="2:19" ht="12.75">
      <c r="B1649" s="28">
        <f t="shared" si="144"/>
        <v>101</v>
      </c>
      <c r="C1649" s="9"/>
      <c r="D1649" s="9"/>
      <c r="E1649" s="9"/>
      <c r="F1649" s="31" t="s">
        <v>200</v>
      </c>
      <c r="G1649" s="40">
        <v>640</v>
      </c>
      <c r="H1649" s="9" t="s">
        <v>132</v>
      </c>
      <c r="I1649" s="72">
        <f>3450+1000</f>
        <v>4450</v>
      </c>
      <c r="J1649" s="72">
        <v>738</v>
      </c>
      <c r="K1649" s="215">
        <f t="shared" si="141"/>
        <v>16.584269662921347</v>
      </c>
      <c r="L1649" s="177"/>
      <c r="M1649" s="72"/>
      <c r="N1649" s="72"/>
      <c r="O1649" s="189"/>
      <c r="P1649" s="177"/>
      <c r="Q1649" s="72">
        <f t="shared" si="142"/>
        <v>4450</v>
      </c>
      <c r="R1649" s="72">
        <f t="shared" si="143"/>
        <v>738</v>
      </c>
      <c r="S1649" s="188">
        <f t="shared" si="138"/>
        <v>16.584269662921347</v>
      </c>
    </row>
    <row r="1652" spans="2:17" ht="27.75" thickBot="1">
      <c r="B1652" s="287" t="s">
        <v>28</v>
      </c>
      <c r="C1652" s="288"/>
      <c r="D1652" s="288"/>
      <c r="E1652" s="288"/>
      <c r="F1652" s="288"/>
      <c r="G1652" s="288"/>
      <c r="H1652" s="288"/>
      <c r="I1652" s="288"/>
      <c r="J1652" s="288"/>
      <c r="K1652" s="288"/>
      <c r="L1652" s="288"/>
      <c r="M1652" s="288"/>
      <c r="N1652" s="288"/>
      <c r="O1652" s="288"/>
      <c r="P1652" s="288"/>
      <c r="Q1652" s="288"/>
    </row>
    <row r="1653" spans="2:19" ht="12.75" customHeight="1" thickBot="1">
      <c r="B1653" s="269" t="s">
        <v>309</v>
      </c>
      <c r="C1653" s="269"/>
      <c r="D1653" s="269"/>
      <c r="E1653" s="269"/>
      <c r="F1653" s="269"/>
      <c r="G1653" s="269"/>
      <c r="H1653" s="269"/>
      <c r="I1653" s="269"/>
      <c r="J1653" s="269"/>
      <c r="K1653" s="269"/>
      <c r="L1653" s="269"/>
      <c r="M1653" s="269"/>
      <c r="N1653" s="269"/>
      <c r="O1653" s="269"/>
      <c r="P1653" s="170"/>
      <c r="Q1653" s="274" t="s">
        <v>515</v>
      </c>
      <c r="R1653" s="265" t="s">
        <v>569</v>
      </c>
      <c r="S1653" s="266" t="s">
        <v>564</v>
      </c>
    </row>
    <row r="1654" spans="2:19" ht="12.75" customHeight="1" thickBot="1">
      <c r="B1654" s="275"/>
      <c r="C1654" s="273" t="s">
        <v>118</v>
      </c>
      <c r="D1654" s="273" t="s">
        <v>119</v>
      </c>
      <c r="E1654" s="276"/>
      <c r="F1654" s="273" t="s">
        <v>120</v>
      </c>
      <c r="G1654" s="270" t="s">
        <v>121</v>
      </c>
      <c r="H1654" s="271" t="s">
        <v>122</v>
      </c>
      <c r="I1654" s="267" t="s">
        <v>565</v>
      </c>
      <c r="J1654" s="267" t="s">
        <v>566</v>
      </c>
      <c r="K1654" s="268" t="s">
        <v>564</v>
      </c>
      <c r="L1654" s="168"/>
      <c r="M1654" s="272" t="s">
        <v>567</v>
      </c>
      <c r="N1654" s="267" t="s">
        <v>568</v>
      </c>
      <c r="O1654" s="268" t="s">
        <v>564</v>
      </c>
      <c r="P1654" s="171"/>
      <c r="Q1654" s="274"/>
      <c r="R1654" s="265"/>
      <c r="S1654" s="266"/>
    </row>
    <row r="1655" spans="2:19" ht="13.5" thickBot="1">
      <c r="B1655" s="275"/>
      <c r="C1655" s="273"/>
      <c r="D1655" s="273"/>
      <c r="E1655" s="276"/>
      <c r="F1655" s="273"/>
      <c r="G1655" s="270"/>
      <c r="H1655" s="271"/>
      <c r="I1655" s="267"/>
      <c r="J1655" s="267"/>
      <c r="K1655" s="268"/>
      <c r="L1655" s="168"/>
      <c r="M1655" s="272"/>
      <c r="N1655" s="267"/>
      <c r="O1655" s="268"/>
      <c r="P1655" s="171"/>
      <c r="Q1655" s="274"/>
      <c r="R1655" s="265"/>
      <c r="S1655" s="266"/>
    </row>
    <row r="1656" spans="2:19" ht="13.5" thickBot="1">
      <c r="B1656" s="275"/>
      <c r="C1656" s="273"/>
      <c r="D1656" s="273"/>
      <c r="E1656" s="276"/>
      <c r="F1656" s="273"/>
      <c r="G1656" s="270"/>
      <c r="H1656" s="271"/>
      <c r="I1656" s="267"/>
      <c r="J1656" s="267"/>
      <c r="K1656" s="268"/>
      <c r="L1656" s="168"/>
      <c r="M1656" s="272"/>
      <c r="N1656" s="267"/>
      <c r="O1656" s="268"/>
      <c r="P1656" s="171"/>
      <c r="Q1656" s="274"/>
      <c r="R1656" s="265"/>
      <c r="S1656" s="266"/>
    </row>
    <row r="1657" spans="2:19" ht="13.5" thickBot="1">
      <c r="B1657" s="275"/>
      <c r="C1657" s="273"/>
      <c r="D1657" s="273"/>
      <c r="E1657" s="276"/>
      <c r="F1657" s="273"/>
      <c r="G1657" s="270"/>
      <c r="H1657" s="271"/>
      <c r="I1657" s="267"/>
      <c r="J1657" s="267"/>
      <c r="K1657" s="268"/>
      <c r="L1657" s="169"/>
      <c r="M1657" s="272"/>
      <c r="N1657" s="267"/>
      <c r="O1657" s="268"/>
      <c r="P1657" s="171"/>
      <c r="Q1657" s="274"/>
      <c r="R1657" s="265"/>
      <c r="S1657" s="266"/>
    </row>
    <row r="1658" spans="2:19" ht="16.5" thickTop="1">
      <c r="B1658" s="28">
        <v>1</v>
      </c>
      <c r="C1658" s="281" t="s">
        <v>28</v>
      </c>
      <c r="D1658" s="285"/>
      <c r="E1658" s="285"/>
      <c r="F1658" s="285"/>
      <c r="G1658" s="285"/>
      <c r="H1658" s="286"/>
      <c r="I1658" s="81">
        <f>I1659+I1670+I1673+I1690+I1713+I1743+I1764+I1775+I1778+I1783+I1796</f>
        <v>4057100</v>
      </c>
      <c r="J1658" s="81">
        <f>J1659+J1670+J1673+J1690+J1713+J1743+J1764+J1775+J1778+J1783+J1796</f>
        <v>1704347</v>
      </c>
      <c r="K1658" s="189">
        <f aca="true" t="shared" si="146" ref="K1658:K1721">J1658/I1658*100</f>
        <v>42.00899657390747</v>
      </c>
      <c r="L1658" s="179"/>
      <c r="M1658" s="81">
        <f>M1659+M1670+M1673+M1690+M1713+M1743+M1764+M1775+M1778+M1783+M1796</f>
        <v>228500</v>
      </c>
      <c r="N1658" s="81">
        <f>N1659+N1670+N1673+N1690+N1713+N1743+N1764+N1775+N1778+N1783+N1796</f>
        <v>0</v>
      </c>
      <c r="O1658" s="189">
        <f>N1658/M1658*100</f>
        <v>0</v>
      </c>
      <c r="P1658" s="179"/>
      <c r="Q1658" s="81">
        <f aca="true" t="shared" si="147" ref="Q1658:Q1721">M1658+I1658</f>
        <v>4285600</v>
      </c>
      <c r="R1658" s="81">
        <f aca="true" t="shared" si="148" ref="R1658:R1721">N1658+J1658</f>
        <v>1704347</v>
      </c>
      <c r="S1658" s="188">
        <f aca="true" t="shared" si="149" ref="S1658:S1721">R1658/Q1658*100</f>
        <v>39.76915717752473</v>
      </c>
    </row>
    <row r="1659" spans="2:19" ht="15">
      <c r="B1659" s="28">
        <v>2</v>
      </c>
      <c r="C1659" s="7">
        <v>1</v>
      </c>
      <c r="D1659" s="277" t="s">
        <v>68</v>
      </c>
      <c r="E1659" s="278"/>
      <c r="F1659" s="278"/>
      <c r="G1659" s="278"/>
      <c r="H1659" s="279"/>
      <c r="I1659" s="79">
        <f>I1660</f>
        <v>227800</v>
      </c>
      <c r="J1659" s="79">
        <f>J1660</f>
        <v>89842</v>
      </c>
      <c r="K1659" s="190">
        <f t="shared" si="146"/>
        <v>39.43898156277436</v>
      </c>
      <c r="L1659" s="175"/>
      <c r="M1659" s="79"/>
      <c r="N1659" s="79"/>
      <c r="O1659" s="189"/>
      <c r="P1659" s="175"/>
      <c r="Q1659" s="79">
        <f t="shared" si="147"/>
        <v>227800</v>
      </c>
      <c r="R1659" s="79">
        <f t="shared" si="148"/>
        <v>89842</v>
      </c>
      <c r="S1659" s="188">
        <f t="shared" si="149"/>
        <v>39.43898156277436</v>
      </c>
    </row>
    <row r="1660" spans="2:21" ht="15">
      <c r="B1660" s="25">
        <f>B1659+1</f>
        <v>3</v>
      </c>
      <c r="C1660" s="12"/>
      <c r="D1660" s="12"/>
      <c r="E1660" s="12">
        <v>5</v>
      </c>
      <c r="F1660" s="35"/>
      <c r="G1660" s="43"/>
      <c r="H1660" s="12" t="s">
        <v>107</v>
      </c>
      <c r="I1660" s="82">
        <f>I1661+I1662+I1663+I1669</f>
        <v>227800</v>
      </c>
      <c r="J1660" s="82">
        <f>J1661+J1662+J1663+J1669</f>
        <v>89842</v>
      </c>
      <c r="K1660" s="190">
        <f t="shared" si="146"/>
        <v>39.43898156277436</v>
      </c>
      <c r="L1660" s="182"/>
      <c r="M1660" s="82"/>
      <c r="N1660" s="82"/>
      <c r="O1660" s="189"/>
      <c r="P1660" s="182"/>
      <c r="Q1660" s="82">
        <f t="shared" si="147"/>
        <v>227800</v>
      </c>
      <c r="R1660" s="82">
        <f t="shared" si="148"/>
        <v>89842</v>
      </c>
      <c r="S1660" s="188">
        <f t="shared" si="149"/>
        <v>39.43898156277436</v>
      </c>
      <c r="U1660" s="16"/>
    </row>
    <row r="1661" spans="2:19" ht="12.75">
      <c r="B1661" s="25">
        <f aca="true" t="shared" si="150" ref="B1661:B1724">B1660+1</f>
        <v>4</v>
      </c>
      <c r="C1661" s="9"/>
      <c r="D1661" s="9"/>
      <c r="E1661" s="9"/>
      <c r="F1661" s="31" t="s">
        <v>74</v>
      </c>
      <c r="G1661" s="40">
        <v>610</v>
      </c>
      <c r="H1661" s="9" t="s">
        <v>134</v>
      </c>
      <c r="I1661" s="72">
        <f>122452-2182</f>
        <v>120270</v>
      </c>
      <c r="J1661" s="72">
        <v>51938</v>
      </c>
      <c r="K1661" s="190">
        <f t="shared" si="146"/>
        <v>43.18450153820571</v>
      </c>
      <c r="L1661" s="177"/>
      <c r="M1661" s="72"/>
      <c r="N1661" s="72"/>
      <c r="O1661" s="189"/>
      <c r="P1661" s="177"/>
      <c r="Q1661" s="72">
        <f t="shared" si="147"/>
        <v>120270</v>
      </c>
      <c r="R1661" s="72">
        <f t="shared" si="148"/>
        <v>51938</v>
      </c>
      <c r="S1661" s="188">
        <f t="shared" si="149"/>
        <v>43.18450153820571</v>
      </c>
    </row>
    <row r="1662" spans="2:19" ht="12.75">
      <c r="B1662" s="25">
        <f t="shared" si="150"/>
        <v>5</v>
      </c>
      <c r="C1662" s="9"/>
      <c r="D1662" s="9"/>
      <c r="E1662" s="9"/>
      <c r="F1662" s="31" t="s">
        <v>74</v>
      </c>
      <c r="G1662" s="40">
        <v>620</v>
      </c>
      <c r="H1662" s="9" t="s">
        <v>128</v>
      </c>
      <c r="I1662" s="72">
        <v>44758</v>
      </c>
      <c r="J1662" s="72">
        <v>16440</v>
      </c>
      <c r="K1662" s="190">
        <f t="shared" si="146"/>
        <v>36.73086375620001</v>
      </c>
      <c r="L1662" s="177"/>
      <c r="M1662" s="72"/>
      <c r="N1662" s="72"/>
      <c r="O1662" s="189"/>
      <c r="P1662" s="177"/>
      <c r="Q1662" s="72">
        <f t="shared" si="147"/>
        <v>44758</v>
      </c>
      <c r="R1662" s="72">
        <f t="shared" si="148"/>
        <v>16440</v>
      </c>
      <c r="S1662" s="188">
        <f t="shared" si="149"/>
        <v>36.73086375620001</v>
      </c>
    </row>
    <row r="1663" spans="2:19" ht="12.75">
      <c r="B1663" s="25">
        <f t="shared" si="150"/>
        <v>6</v>
      </c>
      <c r="C1663" s="9"/>
      <c r="D1663" s="9"/>
      <c r="E1663" s="9"/>
      <c r="F1663" s="31" t="s">
        <v>74</v>
      </c>
      <c r="G1663" s="40">
        <v>630</v>
      </c>
      <c r="H1663" s="9" t="s">
        <v>125</v>
      </c>
      <c r="I1663" s="72">
        <f>SUM(I1664:I1668)</f>
        <v>60250</v>
      </c>
      <c r="J1663" s="72">
        <f>SUM(J1664:J1668)</f>
        <v>19942</v>
      </c>
      <c r="K1663" s="190">
        <f t="shared" si="146"/>
        <v>33.09875518672199</v>
      </c>
      <c r="L1663" s="177"/>
      <c r="M1663" s="72"/>
      <c r="N1663" s="72"/>
      <c r="O1663" s="189"/>
      <c r="P1663" s="177"/>
      <c r="Q1663" s="72">
        <f t="shared" si="147"/>
        <v>60250</v>
      </c>
      <c r="R1663" s="72">
        <f t="shared" si="148"/>
        <v>19942</v>
      </c>
      <c r="S1663" s="188">
        <f t="shared" si="149"/>
        <v>33.09875518672199</v>
      </c>
    </row>
    <row r="1664" spans="2:19" ht="12.75">
      <c r="B1664" s="25">
        <f t="shared" si="150"/>
        <v>7</v>
      </c>
      <c r="C1664" s="4"/>
      <c r="D1664" s="4"/>
      <c r="E1664" s="4"/>
      <c r="F1664" s="32" t="s">
        <v>74</v>
      </c>
      <c r="G1664" s="41">
        <v>632</v>
      </c>
      <c r="H1664" s="4" t="s">
        <v>138</v>
      </c>
      <c r="I1664" s="71">
        <v>15650</v>
      </c>
      <c r="J1664" s="71">
        <v>11242</v>
      </c>
      <c r="K1664" s="190">
        <f t="shared" si="146"/>
        <v>71.83386581469648</v>
      </c>
      <c r="L1664" s="178"/>
      <c r="M1664" s="71"/>
      <c r="N1664" s="71"/>
      <c r="O1664" s="189"/>
      <c r="P1664" s="178"/>
      <c r="Q1664" s="71">
        <f t="shared" si="147"/>
        <v>15650</v>
      </c>
      <c r="R1664" s="71">
        <f t="shared" si="148"/>
        <v>11242</v>
      </c>
      <c r="S1664" s="188">
        <f t="shared" si="149"/>
        <v>71.83386581469648</v>
      </c>
    </row>
    <row r="1665" spans="2:19" ht="12.75">
      <c r="B1665" s="25">
        <f t="shared" si="150"/>
        <v>8</v>
      </c>
      <c r="C1665" s="4"/>
      <c r="D1665" s="4"/>
      <c r="E1665" s="4"/>
      <c r="F1665" s="32" t="s">
        <v>74</v>
      </c>
      <c r="G1665" s="41">
        <v>633</v>
      </c>
      <c r="H1665" s="4" t="s">
        <v>129</v>
      </c>
      <c r="I1665" s="71">
        <v>26550</v>
      </c>
      <c r="J1665" s="71">
        <v>5867</v>
      </c>
      <c r="K1665" s="190">
        <f t="shared" si="146"/>
        <v>22.097928436911488</v>
      </c>
      <c r="L1665" s="178"/>
      <c r="M1665" s="71"/>
      <c r="N1665" s="71"/>
      <c r="O1665" s="189"/>
      <c r="P1665" s="178"/>
      <c r="Q1665" s="71">
        <f t="shared" si="147"/>
        <v>26550</v>
      </c>
      <c r="R1665" s="71">
        <f t="shared" si="148"/>
        <v>5867</v>
      </c>
      <c r="S1665" s="188">
        <f t="shared" si="149"/>
        <v>22.097928436911488</v>
      </c>
    </row>
    <row r="1666" spans="2:19" ht="12.75">
      <c r="B1666" s="25">
        <f t="shared" si="150"/>
        <v>9</v>
      </c>
      <c r="C1666" s="4"/>
      <c r="D1666" s="4"/>
      <c r="E1666" s="4"/>
      <c r="F1666" s="32" t="s">
        <v>74</v>
      </c>
      <c r="G1666" s="41">
        <v>635</v>
      </c>
      <c r="H1666" s="4" t="s">
        <v>136</v>
      </c>
      <c r="I1666" s="71">
        <v>10400</v>
      </c>
      <c r="J1666" s="71">
        <v>276</v>
      </c>
      <c r="K1666" s="190">
        <f t="shared" si="146"/>
        <v>2.6538461538461537</v>
      </c>
      <c r="L1666" s="178"/>
      <c r="M1666" s="71"/>
      <c r="N1666" s="71"/>
      <c r="O1666" s="189"/>
      <c r="P1666" s="178"/>
      <c r="Q1666" s="71">
        <f t="shared" si="147"/>
        <v>10400</v>
      </c>
      <c r="R1666" s="71">
        <f t="shared" si="148"/>
        <v>276</v>
      </c>
      <c r="S1666" s="188">
        <f t="shared" si="149"/>
        <v>2.6538461538461537</v>
      </c>
    </row>
    <row r="1667" spans="2:19" ht="12.75">
      <c r="B1667" s="25">
        <f t="shared" si="150"/>
        <v>10</v>
      </c>
      <c r="C1667" s="4"/>
      <c r="D1667" s="4"/>
      <c r="E1667" s="4"/>
      <c r="F1667" s="32" t="s">
        <v>74</v>
      </c>
      <c r="G1667" s="41">
        <v>637</v>
      </c>
      <c r="H1667" s="4" t="s">
        <v>126</v>
      </c>
      <c r="I1667" s="71">
        <v>4900</v>
      </c>
      <c r="J1667" s="71">
        <f>2383</f>
        <v>2383</v>
      </c>
      <c r="K1667" s="190">
        <f t="shared" si="146"/>
        <v>48.63265306122449</v>
      </c>
      <c r="L1667" s="178"/>
      <c r="M1667" s="71"/>
      <c r="N1667" s="71"/>
      <c r="O1667" s="189"/>
      <c r="P1667" s="178"/>
      <c r="Q1667" s="71">
        <f t="shared" si="147"/>
        <v>4900</v>
      </c>
      <c r="R1667" s="71">
        <f t="shared" si="148"/>
        <v>2383</v>
      </c>
      <c r="S1667" s="188">
        <f t="shared" si="149"/>
        <v>48.63265306122449</v>
      </c>
    </row>
    <row r="1668" spans="2:19" ht="12.75">
      <c r="B1668" s="25">
        <f t="shared" si="150"/>
        <v>11</v>
      </c>
      <c r="C1668" s="4"/>
      <c r="D1668" s="4"/>
      <c r="E1668" s="4"/>
      <c r="F1668" s="32" t="s">
        <v>74</v>
      </c>
      <c r="G1668" s="41">
        <v>637</v>
      </c>
      <c r="H1668" s="4" t="s">
        <v>343</v>
      </c>
      <c r="I1668" s="71">
        <v>2750</v>
      </c>
      <c r="J1668" s="71">
        <v>174</v>
      </c>
      <c r="K1668" s="190">
        <f t="shared" si="146"/>
        <v>6.327272727272727</v>
      </c>
      <c r="L1668" s="178"/>
      <c r="M1668" s="71"/>
      <c r="N1668" s="71"/>
      <c r="O1668" s="189"/>
      <c r="P1668" s="178"/>
      <c r="Q1668" s="71">
        <f t="shared" si="147"/>
        <v>2750</v>
      </c>
      <c r="R1668" s="71">
        <f t="shared" si="148"/>
        <v>174</v>
      </c>
      <c r="S1668" s="188">
        <f t="shared" si="149"/>
        <v>6.327272727272727</v>
      </c>
    </row>
    <row r="1669" spans="2:19" ht="12.75">
      <c r="B1669" s="25">
        <f t="shared" si="150"/>
        <v>12</v>
      </c>
      <c r="C1669" s="9"/>
      <c r="D1669" s="9"/>
      <c r="E1669" s="9"/>
      <c r="F1669" s="31" t="s">
        <v>74</v>
      </c>
      <c r="G1669" s="40">
        <v>640</v>
      </c>
      <c r="H1669" s="9" t="s">
        <v>132</v>
      </c>
      <c r="I1669" s="72">
        <f>1000+1522</f>
        <v>2522</v>
      </c>
      <c r="J1669" s="72">
        <v>1522</v>
      </c>
      <c r="K1669" s="190">
        <f t="shared" si="146"/>
        <v>60.34892942109437</v>
      </c>
      <c r="L1669" s="177"/>
      <c r="M1669" s="72"/>
      <c r="N1669" s="72"/>
      <c r="O1669" s="189"/>
      <c r="P1669" s="177"/>
      <c r="Q1669" s="72">
        <f t="shared" si="147"/>
        <v>2522</v>
      </c>
      <c r="R1669" s="72">
        <f t="shared" si="148"/>
        <v>1522</v>
      </c>
      <c r="S1669" s="188">
        <f t="shared" si="149"/>
        <v>60.34892942109437</v>
      </c>
    </row>
    <row r="1670" spans="2:19" ht="15">
      <c r="B1670" s="25">
        <f t="shared" si="150"/>
        <v>13</v>
      </c>
      <c r="C1670" s="7">
        <v>2</v>
      </c>
      <c r="D1670" s="277" t="s">
        <v>50</v>
      </c>
      <c r="E1670" s="278"/>
      <c r="F1670" s="278"/>
      <c r="G1670" s="278"/>
      <c r="H1670" s="279"/>
      <c r="I1670" s="79">
        <f>I1671</f>
        <v>2000</v>
      </c>
      <c r="J1670" s="79">
        <f>J1671</f>
        <v>0</v>
      </c>
      <c r="K1670" s="190">
        <f t="shared" si="146"/>
        <v>0</v>
      </c>
      <c r="L1670" s="175"/>
      <c r="M1670" s="79"/>
      <c r="N1670" s="79"/>
      <c r="O1670" s="189"/>
      <c r="P1670" s="175"/>
      <c r="Q1670" s="79">
        <f t="shared" si="147"/>
        <v>2000</v>
      </c>
      <c r="R1670" s="79">
        <f t="shared" si="148"/>
        <v>0</v>
      </c>
      <c r="S1670" s="188">
        <f t="shared" si="149"/>
        <v>0</v>
      </c>
    </row>
    <row r="1671" spans="2:19" ht="12.75">
      <c r="B1671" s="25">
        <f t="shared" si="150"/>
        <v>14</v>
      </c>
      <c r="C1671" s="9"/>
      <c r="D1671" s="9"/>
      <c r="E1671" s="9"/>
      <c r="F1671" s="31" t="s">
        <v>49</v>
      </c>
      <c r="G1671" s="40">
        <v>640</v>
      </c>
      <c r="H1671" s="9" t="s">
        <v>132</v>
      </c>
      <c r="I1671" s="72">
        <f>I1672</f>
        <v>2000</v>
      </c>
      <c r="J1671" s="72">
        <f>J1672</f>
        <v>0</v>
      </c>
      <c r="K1671" s="190">
        <f t="shared" si="146"/>
        <v>0</v>
      </c>
      <c r="L1671" s="177"/>
      <c r="M1671" s="72"/>
      <c r="N1671" s="72"/>
      <c r="O1671" s="189"/>
      <c r="P1671" s="177"/>
      <c r="Q1671" s="72">
        <f t="shared" si="147"/>
        <v>2000</v>
      </c>
      <c r="R1671" s="72">
        <f t="shared" si="148"/>
        <v>0</v>
      </c>
      <c r="S1671" s="188">
        <f t="shared" si="149"/>
        <v>0</v>
      </c>
    </row>
    <row r="1672" spans="2:19" ht="12.75">
      <c r="B1672" s="25">
        <f t="shared" si="150"/>
        <v>15</v>
      </c>
      <c r="C1672" s="4"/>
      <c r="D1672" s="4"/>
      <c r="E1672" s="4"/>
      <c r="F1672" s="32" t="s">
        <v>49</v>
      </c>
      <c r="G1672" s="41">
        <v>642</v>
      </c>
      <c r="H1672" s="4" t="s">
        <v>133</v>
      </c>
      <c r="I1672" s="71">
        <v>2000</v>
      </c>
      <c r="J1672" s="71">
        <v>0</v>
      </c>
      <c r="K1672" s="190">
        <f t="shared" si="146"/>
        <v>0</v>
      </c>
      <c r="L1672" s="178"/>
      <c r="M1672" s="71"/>
      <c r="N1672" s="71"/>
      <c r="O1672" s="189"/>
      <c r="P1672" s="178"/>
      <c r="Q1672" s="71">
        <f t="shared" si="147"/>
        <v>2000</v>
      </c>
      <c r="R1672" s="71">
        <f t="shared" si="148"/>
        <v>0</v>
      </c>
      <c r="S1672" s="188">
        <f t="shared" si="149"/>
        <v>0</v>
      </c>
    </row>
    <row r="1673" spans="2:19" ht="15">
      <c r="B1673" s="25">
        <f t="shared" si="150"/>
        <v>16</v>
      </c>
      <c r="C1673" s="7">
        <v>3</v>
      </c>
      <c r="D1673" s="277" t="s">
        <v>59</v>
      </c>
      <c r="E1673" s="278"/>
      <c r="F1673" s="278"/>
      <c r="G1673" s="278"/>
      <c r="H1673" s="279"/>
      <c r="I1673" s="79">
        <f>I1674</f>
        <v>79329</v>
      </c>
      <c r="J1673" s="79">
        <f>J1674</f>
        <v>29000</v>
      </c>
      <c r="K1673" s="190">
        <f t="shared" si="146"/>
        <v>36.556618638833214</v>
      </c>
      <c r="L1673" s="175"/>
      <c r="M1673" s="79"/>
      <c r="N1673" s="79"/>
      <c r="O1673" s="189"/>
      <c r="P1673" s="175"/>
      <c r="Q1673" s="79">
        <f t="shared" si="147"/>
        <v>79329</v>
      </c>
      <c r="R1673" s="79">
        <f t="shared" si="148"/>
        <v>29000</v>
      </c>
      <c r="S1673" s="188">
        <f t="shared" si="149"/>
        <v>36.556618638833214</v>
      </c>
    </row>
    <row r="1674" spans="2:19" ht="12.75">
      <c r="B1674" s="25">
        <f t="shared" si="150"/>
        <v>17</v>
      </c>
      <c r="C1674" s="9"/>
      <c r="D1674" s="9"/>
      <c r="E1674" s="9"/>
      <c r="F1674" s="31" t="s">
        <v>58</v>
      </c>
      <c r="G1674" s="40">
        <v>640</v>
      </c>
      <c r="H1674" s="9" t="s">
        <v>132</v>
      </c>
      <c r="I1674" s="72">
        <f>I1675</f>
        <v>79329</v>
      </c>
      <c r="J1674" s="72">
        <f>J1675</f>
        <v>29000</v>
      </c>
      <c r="K1674" s="190">
        <f t="shared" si="146"/>
        <v>36.556618638833214</v>
      </c>
      <c r="L1674" s="177"/>
      <c r="M1674" s="72"/>
      <c r="N1674" s="72"/>
      <c r="O1674" s="189"/>
      <c r="P1674" s="177"/>
      <c r="Q1674" s="72">
        <f t="shared" si="147"/>
        <v>79329</v>
      </c>
      <c r="R1674" s="72">
        <f t="shared" si="148"/>
        <v>29000</v>
      </c>
      <c r="S1674" s="188">
        <f t="shared" si="149"/>
        <v>36.556618638833214</v>
      </c>
    </row>
    <row r="1675" spans="2:19" ht="12.75">
      <c r="B1675" s="25">
        <f t="shared" si="150"/>
        <v>18</v>
      </c>
      <c r="C1675" s="4"/>
      <c r="D1675" s="4"/>
      <c r="E1675" s="4"/>
      <c r="F1675" s="32" t="s">
        <v>58</v>
      </c>
      <c r="G1675" s="41">
        <v>642</v>
      </c>
      <c r="H1675" s="4" t="s">
        <v>133</v>
      </c>
      <c r="I1675" s="71">
        <f>SUM(I1676:I1689)</f>
        <v>79329</v>
      </c>
      <c r="J1675" s="71">
        <f>SUM(J1676:J1689)</f>
        <v>29000</v>
      </c>
      <c r="K1675" s="190">
        <f t="shared" si="146"/>
        <v>36.556618638833214</v>
      </c>
      <c r="L1675" s="178"/>
      <c r="M1675" s="71"/>
      <c r="N1675" s="71"/>
      <c r="O1675" s="189"/>
      <c r="P1675" s="178"/>
      <c r="Q1675" s="71">
        <f t="shared" si="147"/>
        <v>79329</v>
      </c>
      <c r="R1675" s="71">
        <f t="shared" si="148"/>
        <v>29000</v>
      </c>
      <c r="S1675" s="188">
        <f t="shared" si="149"/>
        <v>36.556618638833214</v>
      </c>
    </row>
    <row r="1676" spans="2:19" ht="12.75">
      <c r="B1676" s="25">
        <f t="shared" si="150"/>
        <v>19</v>
      </c>
      <c r="C1676" s="5"/>
      <c r="D1676" s="5"/>
      <c r="E1676" s="5"/>
      <c r="F1676" s="36"/>
      <c r="G1676" s="42"/>
      <c r="H1676" s="24" t="s">
        <v>285</v>
      </c>
      <c r="I1676" s="75">
        <v>22000</v>
      </c>
      <c r="J1676" s="75">
        <v>0</v>
      </c>
      <c r="K1676" s="190">
        <f t="shared" si="146"/>
        <v>0</v>
      </c>
      <c r="L1676" s="99"/>
      <c r="M1676" s="75"/>
      <c r="N1676" s="75"/>
      <c r="O1676" s="189"/>
      <c r="P1676" s="99"/>
      <c r="Q1676" s="75">
        <f t="shared" si="147"/>
        <v>22000</v>
      </c>
      <c r="R1676" s="75">
        <f t="shared" si="148"/>
        <v>0</v>
      </c>
      <c r="S1676" s="188">
        <f t="shared" si="149"/>
        <v>0</v>
      </c>
    </row>
    <row r="1677" spans="2:19" ht="22.5">
      <c r="B1677" s="25">
        <f t="shared" si="150"/>
        <v>20</v>
      </c>
      <c r="C1677" s="5"/>
      <c r="D1677" s="5"/>
      <c r="E1677" s="5"/>
      <c r="F1677" s="36"/>
      <c r="G1677" s="42"/>
      <c r="H1677" s="61" t="s">
        <v>376</v>
      </c>
      <c r="I1677" s="75">
        <v>720</v>
      </c>
      <c r="J1677" s="75">
        <v>0</v>
      </c>
      <c r="K1677" s="190">
        <f t="shared" si="146"/>
        <v>0</v>
      </c>
      <c r="L1677" s="99"/>
      <c r="M1677" s="75"/>
      <c r="N1677" s="75"/>
      <c r="O1677" s="189"/>
      <c r="P1677" s="99"/>
      <c r="Q1677" s="75">
        <f t="shared" si="147"/>
        <v>720</v>
      </c>
      <c r="R1677" s="75">
        <f t="shared" si="148"/>
        <v>0</v>
      </c>
      <c r="S1677" s="188">
        <f t="shared" si="149"/>
        <v>0</v>
      </c>
    </row>
    <row r="1678" spans="2:19" ht="12.75">
      <c r="B1678" s="25">
        <f t="shared" si="150"/>
        <v>21</v>
      </c>
      <c r="C1678" s="5"/>
      <c r="D1678" s="5"/>
      <c r="E1678" s="5"/>
      <c r="F1678" s="36"/>
      <c r="G1678" s="42"/>
      <c r="H1678" s="24" t="s">
        <v>377</v>
      </c>
      <c r="I1678" s="75">
        <v>2574</v>
      </c>
      <c r="J1678" s="75">
        <v>0</v>
      </c>
      <c r="K1678" s="190">
        <f t="shared" si="146"/>
        <v>0</v>
      </c>
      <c r="L1678" s="99"/>
      <c r="M1678" s="75"/>
      <c r="N1678" s="75"/>
      <c r="O1678" s="189"/>
      <c r="P1678" s="99"/>
      <c r="Q1678" s="75">
        <f t="shared" si="147"/>
        <v>2574</v>
      </c>
      <c r="R1678" s="75">
        <f t="shared" si="148"/>
        <v>0</v>
      </c>
      <c r="S1678" s="188">
        <f t="shared" si="149"/>
        <v>0</v>
      </c>
    </row>
    <row r="1679" spans="2:19" ht="12.75">
      <c r="B1679" s="25">
        <f t="shared" si="150"/>
        <v>22</v>
      </c>
      <c r="C1679" s="5"/>
      <c r="D1679" s="5"/>
      <c r="E1679" s="5"/>
      <c r="F1679" s="36"/>
      <c r="G1679" s="42"/>
      <c r="H1679" s="24" t="s">
        <v>378</v>
      </c>
      <c r="I1679" s="75">
        <v>22000</v>
      </c>
      <c r="J1679" s="75">
        <v>22000</v>
      </c>
      <c r="K1679" s="190">
        <f t="shared" si="146"/>
        <v>100</v>
      </c>
      <c r="L1679" s="99"/>
      <c r="M1679" s="75"/>
      <c r="N1679" s="75"/>
      <c r="O1679" s="189"/>
      <c r="P1679" s="99"/>
      <c r="Q1679" s="75">
        <f t="shared" si="147"/>
        <v>22000</v>
      </c>
      <c r="R1679" s="75">
        <f t="shared" si="148"/>
        <v>22000</v>
      </c>
      <c r="S1679" s="188">
        <f t="shared" si="149"/>
        <v>100</v>
      </c>
    </row>
    <row r="1680" spans="2:19" ht="12.75">
      <c r="B1680" s="25">
        <f t="shared" si="150"/>
        <v>23</v>
      </c>
      <c r="C1680" s="5"/>
      <c r="D1680" s="5"/>
      <c r="E1680" s="5"/>
      <c r="F1680" s="36"/>
      <c r="G1680" s="42"/>
      <c r="H1680" s="24" t="s">
        <v>379</v>
      </c>
      <c r="I1680" s="75">
        <v>15000</v>
      </c>
      <c r="J1680" s="75">
        <v>0</v>
      </c>
      <c r="K1680" s="190">
        <f t="shared" si="146"/>
        <v>0</v>
      </c>
      <c r="L1680" s="99"/>
      <c r="M1680" s="75"/>
      <c r="N1680" s="75"/>
      <c r="O1680" s="189"/>
      <c r="P1680" s="99"/>
      <c r="Q1680" s="75">
        <f t="shared" si="147"/>
        <v>15000</v>
      </c>
      <c r="R1680" s="75">
        <f t="shared" si="148"/>
        <v>0</v>
      </c>
      <c r="S1680" s="188">
        <f t="shared" si="149"/>
        <v>0</v>
      </c>
    </row>
    <row r="1681" spans="2:19" ht="12.75">
      <c r="B1681" s="25">
        <f t="shared" si="150"/>
        <v>24</v>
      </c>
      <c r="C1681" s="5"/>
      <c r="D1681" s="5"/>
      <c r="E1681" s="5"/>
      <c r="F1681" s="36"/>
      <c r="G1681" s="42"/>
      <c r="H1681" s="24" t="s">
        <v>368</v>
      </c>
      <c r="I1681" s="75">
        <v>1269</v>
      </c>
      <c r="J1681" s="75">
        <v>0</v>
      </c>
      <c r="K1681" s="190">
        <f t="shared" si="146"/>
        <v>0</v>
      </c>
      <c r="L1681" s="99"/>
      <c r="M1681" s="75"/>
      <c r="N1681" s="75"/>
      <c r="O1681" s="189"/>
      <c r="P1681" s="99"/>
      <c r="Q1681" s="75">
        <f t="shared" si="147"/>
        <v>1269</v>
      </c>
      <c r="R1681" s="75">
        <f t="shared" si="148"/>
        <v>0</v>
      </c>
      <c r="S1681" s="188">
        <f t="shared" si="149"/>
        <v>0</v>
      </c>
    </row>
    <row r="1682" spans="2:19" ht="12.75">
      <c r="B1682" s="25">
        <f t="shared" si="150"/>
        <v>25</v>
      </c>
      <c r="C1682" s="5"/>
      <c r="D1682" s="5"/>
      <c r="E1682" s="5"/>
      <c r="F1682" s="36"/>
      <c r="G1682" s="42"/>
      <c r="H1682" s="24" t="s">
        <v>369</v>
      </c>
      <c r="I1682" s="75">
        <v>2016</v>
      </c>
      <c r="J1682" s="75">
        <v>0</v>
      </c>
      <c r="K1682" s="190">
        <f t="shared" si="146"/>
        <v>0</v>
      </c>
      <c r="L1682" s="99"/>
      <c r="M1682" s="75"/>
      <c r="N1682" s="75"/>
      <c r="O1682" s="189"/>
      <c r="P1682" s="99"/>
      <c r="Q1682" s="75">
        <f t="shared" si="147"/>
        <v>2016</v>
      </c>
      <c r="R1682" s="75">
        <f t="shared" si="148"/>
        <v>0</v>
      </c>
      <c r="S1682" s="188">
        <f t="shared" si="149"/>
        <v>0</v>
      </c>
    </row>
    <row r="1683" spans="2:19" ht="12.75">
      <c r="B1683" s="25">
        <f t="shared" si="150"/>
        <v>26</v>
      </c>
      <c r="C1683" s="5"/>
      <c r="D1683" s="5"/>
      <c r="E1683" s="5"/>
      <c r="F1683" s="36"/>
      <c r="G1683" s="42"/>
      <c r="H1683" s="24" t="s">
        <v>370</v>
      </c>
      <c r="I1683" s="75">
        <v>387</v>
      </c>
      <c r="J1683" s="75">
        <v>0</v>
      </c>
      <c r="K1683" s="190">
        <f t="shared" si="146"/>
        <v>0</v>
      </c>
      <c r="L1683" s="99"/>
      <c r="M1683" s="75"/>
      <c r="N1683" s="75"/>
      <c r="O1683" s="189"/>
      <c r="P1683" s="99"/>
      <c r="Q1683" s="75">
        <f t="shared" si="147"/>
        <v>387</v>
      </c>
      <c r="R1683" s="75">
        <f t="shared" si="148"/>
        <v>0</v>
      </c>
      <c r="S1683" s="188">
        <f t="shared" si="149"/>
        <v>0</v>
      </c>
    </row>
    <row r="1684" spans="2:19" ht="12.75">
      <c r="B1684" s="25">
        <f t="shared" si="150"/>
        <v>27</v>
      </c>
      <c r="C1684" s="5"/>
      <c r="D1684" s="5"/>
      <c r="E1684" s="5"/>
      <c r="F1684" s="36"/>
      <c r="G1684" s="42"/>
      <c r="H1684" s="24" t="s">
        <v>371</v>
      </c>
      <c r="I1684" s="75">
        <v>2682</v>
      </c>
      <c r="J1684" s="75">
        <v>0</v>
      </c>
      <c r="K1684" s="190">
        <f t="shared" si="146"/>
        <v>0</v>
      </c>
      <c r="L1684" s="99"/>
      <c r="M1684" s="75"/>
      <c r="N1684" s="75"/>
      <c r="O1684" s="189"/>
      <c r="P1684" s="99"/>
      <c r="Q1684" s="75">
        <f t="shared" si="147"/>
        <v>2682</v>
      </c>
      <c r="R1684" s="75">
        <f t="shared" si="148"/>
        <v>0</v>
      </c>
      <c r="S1684" s="188">
        <f t="shared" si="149"/>
        <v>0</v>
      </c>
    </row>
    <row r="1685" spans="2:19" ht="12.75">
      <c r="B1685" s="25">
        <f t="shared" si="150"/>
        <v>28</v>
      </c>
      <c r="C1685" s="5"/>
      <c r="D1685" s="5"/>
      <c r="E1685" s="5"/>
      <c r="F1685" s="36"/>
      <c r="G1685" s="42"/>
      <c r="H1685" s="24" t="s">
        <v>372</v>
      </c>
      <c r="I1685" s="75">
        <v>630</v>
      </c>
      <c r="J1685" s="75">
        <v>0</v>
      </c>
      <c r="K1685" s="190">
        <f t="shared" si="146"/>
        <v>0</v>
      </c>
      <c r="L1685" s="99"/>
      <c r="M1685" s="75"/>
      <c r="N1685" s="75"/>
      <c r="O1685" s="189"/>
      <c r="P1685" s="99"/>
      <c r="Q1685" s="75">
        <f t="shared" si="147"/>
        <v>630</v>
      </c>
      <c r="R1685" s="75">
        <f t="shared" si="148"/>
        <v>0</v>
      </c>
      <c r="S1685" s="188">
        <f t="shared" si="149"/>
        <v>0</v>
      </c>
    </row>
    <row r="1686" spans="2:19" ht="12.75">
      <c r="B1686" s="25">
        <f t="shared" si="150"/>
        <v>29</v>
      </c>
      <c r="C1686" s="5"/>
      <c r="D1686" s="5"/>
      <c r="E1686" s="5"/>
      <c r="F1686" s="36"/>
      <c r="G1686" s="42"/>
      <c r="H1686" s="24" t="s">
        <v>373</v>
      </c>
      <c r="I1686" s="75">
        <v>1674</v>
      </c>
      <c r="J1686" s="75">
        <v>0</v>
      </c>
      <c r="K1686" s="190">
        <f t="shared" si="146"/>
        <v>0</v>
      </c>
      <c r="L1686" s="99"/>
      <c r="M1686" s="75"/>
      <c r="N1686" s="75"/>
      <c r="O1686" s="189"/>
      <c r="P1686" s="99"/>
      <c r="Q1686" s="75">
        <f t="shared" si="147"/>
        <v>1674</v>
      </c>
      <c r="R1686" s="75">
        <f t="shared" si="148"/>
        <v>0</v>
      </c>
      <c r="S1686" s="188">
        <f t="shared" si="149"/>
        <v>0</v>
      </c>
    </row>
    <row r="1687" spans="2:19" ht="12.75">
      <c r="B1687" s="25">
        <f t="shared" si="150"/>
        <v>30</v>
      </c>
      <c r="C1687" s="5"/>
      <c r="D1687" s="5"/>
      <c r="E1687" s="5"/>
      <c r="F1687" s="36"/>
      <c r="G1687" s="42"/>
      <c r="H1687" s="24" t="s">
        <v>374</v>
      </c>
      <c r="I1687" s="75">
        <v>1143</v>
      </c>
      <c r="J1687" s="75">
        <v>0</v>
      </c>
      <c r="K1687" s="190">
        <f t="shared" si="146"/>
        <v>0</v>
      </c>
      <c r="L1687" s="99"/>
      <c r="M1687" s="75"/>
      <c r="N1687" s="75"/>
      <c r="O1687" s="189"/>
      <c r="P1687" s="99"/>
      <c r="Q1687" s="75">
        <f t="shared" si="147"/>
        <v>1143</v>
      </c>
      <c r="R1687" s="75">
        <f t="shared" si="148"/>
        <v>0</v>
      </c>
      <c r="S1687" s="188">
        <f t="shared" si="149"/>
        <v>0</v>
      </c>
    </row>
    <row r="1688" spans="2:19" ht="12.75">
      <c r="B1688" s="25">
        <f t="shared" si="150"/>
        <v>31</v>
      </c>
      <c r="C1688" s="5"/>
      <c r="D1688" s="5"/>
      <c r="E1688" s="5"/>
      <c r="F1688" s="36"/>
      <c r="G1688" s="42"/>
      <c r="H1688" s="24" t="s">
        <v>375</v>
      </c>
      <c r="I1688" s="75">
        <v>234</v>
      </c>
      <c r="J1688" s="75">
        <v>0</v>
      </c>
      <c r="K1688" s="190">
        <f t="shared" si="146"/>
        <v>0</v>
      </c>
      <c r="L1688" s="99"/>
      <c r="M1688" s="75"/>
      <c r="N1688" s="75"/>
      <c r="O1688" s="189"/>
      <c r="P1688" s="99"/>
      <c r="Q1688" s="75">
        <f t="shared" si="147"/>
        <v>234</v>
      </c>
      <c r="R1688" s="75">
        <f t="shared" si="148"/>
        <v>0</v>
      </c>
      <c r="S1688" s="188">
        <f t="shared" si="149"/>
        <v>0</v>
      </c>
    </row>
    <row r="1689" spans="2:19" ht="12.75">
      <c r="B1689" s="25">
        <f t="shared" si="150"/>
        <v>32</v>
      </c>
      <c r="C1689" s="5"/>
      <c r="D1689" s="5"/>
      <c r="E1689" s="5"/>
      <c r="F1689" s="36"/>
      <c r="G1689" s="42"/>
      <c r="H1689" s="24" t="s">
        <v>522</v>
      </c>
      <c r="I1689" s="75">
        <v>7000</v>
      </c>
      <c r="J1689" s="75">
        <v>7000</v>
      </c>
      <c r="K1689" s="190">
        <f t="shared" si="146"/>
        <v>100</v>
      </c>
      <c r="L1689" s="99"/>
      <c r="M1689" s="75"/>
      <c r="N1689" s="75"/>
      <c r="O1689" s="189"/>
      <c r="P1689" s="99"/>
      <c r="Q1689" s="75">
        <f>M1689+I1689</f>
        <v>7000</v>
      </c>
      <c r="R1689" s="75">
        <f t="shared" si="148"/>
        <v>7000</v>
      </c>
      <c r="S1689" s="188">
        <f t="shared" si="149"/>
        <v>100</v>
      </c>
    </row>
    <row r="1690" spans="2:19" ht="15">
      <c r="B1690" s="25">
        <f t="shared" si="150"/>
        <v>33</v>
      </c>
      <c r="C1690" s="7">
        <v>4</v>
      </c>
      <c r="D1690" s="277" t="s">
        <v>504</v>
      </c>
      <c r="E1690" s="278"/>
      <c r="F1690" s="278"/>
      <c r="G1690" s="278"/>
      <c r="H1690" s="279"/>
      <c r="I1690" s="79">
        <f>I1691+I1702</f>
        <v>144571</v>
      </c>
      <c r="J1690" s="79">
        <f>J1691+J1702</f>
        <v>57102</v>
      </c>
      <c r="K1690" s="190">
        <f t="shared" si="146"/>
        <v>39.49754791763216</v>
      </c>
      <c r="L1690" s="175"/>
      <c r="M1690" s="79"/>
      <c r="N1690" s="79"/>
      <c r="O1690" s="189"/>
      <c r="P1690" s="175"/>
      <c r="Q1690" s="79">
        <f t="shared" si="147"/>
        <v>144571</v>
      </c>
      <c r="R1690" s="79">
        <f t="shared" si="148"/>
        <v>57102</v>
      </c>
      <c r="S1690" s="188">
        <f t="shared" si="149"/>
        <v>39.49754791763216</v>
      </c>
    </row>
    <row r="1691" spans="2:19" ht="15">
      <c r="B1691" s="25">
        <f t="shared" si="150"/>
        <v>34</v>
      </c>
      <c r="C1691" s="2"/>
      <c r="D1691" s="2">
        <v>1</v>
      </c>
      <c r="E1691" s="284" t="s">
        <v>53</v>
      </c>
      <c r="F1691" s="278"/>
      <c r="G1691" s="278"/>
      <c r="H1691" s="279"/>
      <c r="I1691" s="80">
        <f>I1692</f>
        <v>63183</v>
      </c>
      <c r="J1691" s="80">
        <f>J1692</f>
        <v>29975</v>
      </c>
      <c r="K1691" s="190">
        <f t="shared" si="146"/>
        <v>47.44155864710444</v>
      </c>
      <c r="L1691" s="176"/>
      <c r="M1691" s="80"/>
      <c r="N1691" s="80"/>
      <c r="O1691" s="189"/>
      <c r="P1691" s="176"/>
      <c r="Q1691" s="80">
        <f t="shared" si="147"/>
        <v>63183</v>
      </c>
      <c r="R1691" s="80">
        <f t="shared" si="148"/>
        <v>29975</v>
      </c>
      <c r="S1691" s="188">
        <f t="shared" si="149"/>
        <v>47.44155864710444</v>
      </c>
    </row>
    <row r="1692" spans="2:19" ht="15">
      <c r="B1692" s="25">
        <f t="shared" si="150"/>
        <v>35</v>
      </c>
      <c r="C1692" s="12"/>
      <c r="D1692" s="12"/>
      <c r="E1692" s="12">
        <v>5</v>
      </c>
      <c r="F1692" s="35"/>
      <c r="G1692" s="43"/>
      <c r="H1692" s="12" t="s">
        <v>107</v>
      </c>
      <c r="I1692" s="82">
        <f>I1693+I1694+I1695+I1701</f>
        <v>63183</v>
      </c>
      <c r="J1692" s="82">
        <f>J1693+J1694+J1695+J1701</f>
        <v>29975</v>
      </c>
      <c r="K1692" s="190">
        <f t="shared" si="146"/>
        <v>47.44155864710444</v>
      </c>
      <c r="L1692" s="182"/>
      <c r="M1692" s="82"/>
      <c r="N1692" s="82"/>
      <c r="O1692" s="189"/>
      <c r="P1692" s="182"/>
      <c r="Q1692" s="82">
        <f t="shared" si="147"/>
        <v>63183</v>
      </c>
      <c r="R1692" s="82">
        <f t="shared" si="148"/>
        <v>29975</v>
      </c>
      <c r="S1692" s="188">
        <f t="shared" si="149"/>
        <v>47.44155864710444</v>
      </c>
    </row>
    <row r="1693" spans="2:19" ht="12.75">
      <c r="B1693" s="25">
        <f t="shared" si="150"/>
        <v>36</v>
      </c>
      <c r="C1693" s="9"/>
      <c r="D1693" s="9"/>
      <c r="E1693" s="9"/>
      <c r="F1693" s="31" t="s">
        <v>49</v>
      </c>
      <c r="G1693" s="40">
        <v>610</v>
      </c>
      <c r="H1693" s="9" t="s">
        <v>134</v>
      </c>
      <c r="I1693" s="72">
        <v>35694</v>
      </c>
      <c r="J1693" s="72">
        <v>16762</v>
      </c>
      <c r="K1693" s="190">
        <f t="shared" si="146"/>
        <v>46.96027343531126</v>
      </c>
      <c r="L1693" s="177"/>
      <c r="M1693" s="72"/>
      <c r="N1693" s="72"/>
      <c r="O1693" s="189"/>
      <c r="P1693" s="177"/>
      <c r="Q1693" s="72">
        <f t="shared" si="147"/>
        <v>35694</v>
      </c>
      <c r="R1693" s="72">
        <f t="shared" si="148"/>
        <v>16762</v>
      </c>
      <c r="S1693" s="188">
        <f t="shared" si="149"/>
        <v>46.96027343531126</v>
      </c>
    </row>
    <row r="1694" spans="2:19" ht="12.75">
      <c r="B1694" s="25">
        <f t="shared" si="150"/>
        <v>37</v>
      </c>
      <c r="C1694" s="9"/>
      <c r="D1694" s="9"/>
      <c r="E1694" s="9"/>
      <c r="F1694" s="31" t="s">
        <v>49</v>
      </c>
      <c r="G1694" s="40">
        <v>620</v>
      </c>
      <c r="H1694" s="9" t="s">
        <v>128</v>
      </c>
      <c r="I1694" s="72">
        <v>12876</v>
      </c>
      <c r="J1694" s="72">
        <v>5506</v>
      </c>
      <c r="K1694" s="190">
        <f t="shared" si="146"/>
        <v>42.76172724448586</v>
      </c>
      <c r="L1694" s="177"/>
      <c r="M1694" s="72"/>
      <c r="N1694" s="72"/>
      <c r="O1694" s="189"/>
      <c r="P1694" s="177"/>
      <c r="Q1694" s="72">
        <f t="shared" si="147"/>
        <v>12876</v>
      </c>
      <c r="R1694" s="72">
        <f t="shared" si="148"/>
        <v>5506</v>
      </c>
      <c r="S1694" s="188">
        <f t="shared" si="149"/>
        <v>42.76172724448586</v>
      </c>
    </row>
    <row r="1695" spans="2:19" ht="12.75">
      <c r="B1695" s="25">
        <f t="shared" si="150"/>
        <v>38</v>
      </c>
      <c r="C1695" s="9"/>
      <c r="D1695" s="9"/>
      <c r="E1695" s="9"/>
      <c r="F1695" s="31" t="s">
        <v>49</v>
      </c>
      <c r="G1695" s="40">
        <v>630</v>
      </c>
      <c r="H1695" s="9" t="s">
        <v>125</v>
      </c>
      <c r="I1695" s="72">
        <f>SUM(I1696:I1700)</f>
        <v>14413</v>
      </c>
      <c r="J1695" s="72">
        <f>SUM(J1696:J1700)</f>
        <v>7548</v>
      </c>
      <c r="K1695" s="190">
        <f t="shared" si="146"/>
        <v>52.36938874627073</v>
      </c>
      <c r="L1695" s="177"/>
      <c r="M1695" s="72"/>
      <c r="N1695" s="72"/>
      <c r="O1695" s="189"/>
      <c r="P1695" s="177"/>
      <c r="Q1695" s="72">
        <f t="shared" si="147"/>
        <v>14413</v>
      </c>
      <c r="R1695" s="72">
        <f t="shared" si="148"/>
        <v>7548</v>
      </c>
      <c r="S1695" s="188">
        <f t="shared" si="149"/>
        <v>52.36938874627073</v>
      </c>
    </row>
    <row r="1696" spans="2:19" ht="12.75">
      <c r="B1696" s="25">
        <f t="shared" si="150"/>
        <v>39</v>
      </c>
      <c r="C1696" s="4"/>
      <c r="D1696" s="4"/>
      <c r="E1696" s="4"/>
      <c r="F1696" s="32" t="s">
        <v>49</v>
      </c>
      <c r="G1696" s="41">
        <v>632</v>
      </c>
      <c r="H1696" s="4" t="s">
        <v>138</v>
      </c>
      <c r="I1696" s="71">
        <v>5720</v>
      </c>
      <c r="J1696" s="71">
        <v>3704</v>
      </c>
      <c r="K1696" s="190">
        <f t="shared" si="146"/>
        <v>64.75524475524476</v>
      </c>
      <c r="L1696" s="178"/>
      <c r="M1696" s="71"/>
      <c r="N1696" s="71"/>
      <c r="O1696" s="189"/>
      <c r="P1696" s="178"/>
      <c r="Q1696" s="71">
        <f t="shared" si="147"/>
        <v>5720</v>
      </c>
      <c r="R1696" s="71">
        <f t="shared" si="148"/>
        <v>3704</v>
      </c>
      <c r="S1696" s="188">
        <f t="shared" si="149"/>
        <v>64.75524475524476</v>
      </c>
    </row>
    <row r="1697" spans="2:19" ht="12.75">
      <c r="B1697" s="25">
        <f t="shared" si="150"/>
        <v>40</v>
      </c>
      <c r="C1697" s="4"/>
      <c r="D1697" s="4"/>
      <c r="E1697" s="4"/>
      <c r="F1697" s="32" t="s">
        <v>49</v>
      </c>
      <c r="G1697" s="41">
        <v>633</v>
      </c>
      <c r="H1697" s="4" t="s">
        <v>129</v>
      </c>
      <c r="I1697" s="71">
        <v>1130</v>
      </c>
      <c r="J1697" s="71">
        <v>509</v>
      </c>
      <c r="K1697" s="190">
        <f t="shared" si="146"/>
        <v>45.04424778761062</v>
      </c>
      <c r="L1697" s="178"/>
      <c r="M1697" s="71"/>
      <c r="N1697" s="71"/>
      <c r="O1697" s="189"/>
      <c r="P1697" s="178"/>
      <c r="Q1697" s="71">
        <f t="shared" si="147"/>
        <v>1130</v>
      </c>
      <c r="R1697" s="71">
        <f t="shared" si="148"/>
        <v>509</v>
      </c>
      <c r="S1697" s="188">
        <f t="shared" si="149"/>
        <v>45.04424778761062</v>
      </c>
    </row>
    <row r="1698" spans="2:19" ht="12.75">
      <c r="B1698" s="25">
        <f t="shared" si="150"/>
        <v>41</v>
      </c>
      <c r="C1698" s="4"/>
      <c r="D1698" s="4"/>
      <c r="E1698" s="4"/>
      <c r="F1698" s="32" t="s">
        <v>49</v>
      </c>
      <c r="G1698" s="41">
        <v>635</v>
      </c>
      <c r="H1698" s="4" t="s">
        <v>136</v>
      </c>
      <c r="I1698" s="71">
        <v>1250</v>
      </c>
      <c r="J1698" s="71">
        <v>207</v>
      </c>
      <c r="K1698" s="190">
        <f t="shared" si="146"/>
        <v>16.56</v>
      </c>
      <c r="L1698" s="178"/>
      <c r="M1698" s="71"/>
      <c r="N1698" s="71"/>
      <c r="O1698" s="189"/>
      <c r="P1698" s="178"/>
      <c r="Q1698" s="71">
        <f t="shared" si="147"/>
        <v>1250</v>
      </c>
      <c r="R1698" s="71">
        <f t="shared" si="148"/>
        <v>207</v>
      </c>
      <c r="S1698" s="188">
        <f t="shared" si="149"/>
        <v>16.56</v>
      </c>
    </row>
    <row r="1699" spans="2:19" ht="12.75">
      <c r="B1699" s="25">
        <f t="shared" si="150"/>
        <v>42</v>
      </c>
      <c r="C1699" s="4"/>
      <c r="D1699" s="4"/>
      <c r="E1699" s="4"/>
      <c r="F1699" s="32" t="s">
        <v>49</v>
      </c>
      <c r="G1699" s="41">
        <v>637</v>
      </c>
      <c r="H1699" s="4" t="s">
        <v>126</v>
      </c>
      <c r="I1699" s="71">
        <v>5625</v>
      </c>
      <c r="J1699" s="71">
        <v>3128</v>
      </c>
      <c r="K1699" s="190">
        <f t="shared" si="146"/>
        <v>55.608888888888885</v>
      </c>
      <c r="L1699" s="178"/>
      <c r="M1699" s="71"/>
      <c r="N1699" s="71"/>
      <c r="O1699" s="189"/>
      <c r="P1699" s="178"/>
      <c r="Q1699" s="71">
        <f t="shared" si="147"/>
        <v>5625</v>
      </c>
      <c r="R1699" s="71">
        <f t="shared" si="148"/>
        <v>3128</v>
      </c>
      <c r="S1699" s="188">
        <f t="shared" si="149"/>
        <v>55.608888888888885</v>
      </c>
    </row>
    <row r="1700" spans="2:19" ht="12.75">
      <c r="B1700" s="25">
        <f t="shared" si="150"/>
        <v>43</v>
      </c>
      <c r="C1700" s="4"/>
      <c r="D1700" s="4"/>
      <c r="E1700" s="4"/>
      <c r="F1700" s="32" t="s">
        <v>49</v>
      </c>
      <c r="G1700" s="41">
        <v>637</v>
      </c>
      <c r="H1700" s="4" t="s">
        <v>343</v>
      </c>
      <c r="I1700" s="71">
        <v>688</v>
      </c>
      <c r="J1700" s="71">
        <v>0</v>
      </c>
      <c r="K1700" s="190">
        <f t="shared" si="146"/>
        <v>0</v>
      </c>
      <c r="L1700" s="178"/>
      <c r="M1700" s="71"/>
      <c r="N1700" s="71"/>
      <c r="O1700" s="189"/>
      <c r="P1700" s="178"/>
      <c r="Q1700" s="71">
        <f t="shared" si="147"/>
        <v>688</v>
      </c>
      <c r="R1700" s="71">
        <f t="shared" si="148"/>
        <v>0</v>
      </c>
      <c r="S1700" s="188">
        <f t="shared" si="149"/>
        <v>0</v>
      </c>
    </row>
    <row r="1701" spans="2:19" ht="12.75">
      <c r="B1701" s="25">
        <f t="shared" si="150"/>
        <v>44</v>
      </c>
      <c r="C1701" s="4"/>
      <c r="D1701" s="4"/>
      <c r="E1701" s="22"/>
      <c r="F1701" s="31" t="s">
        <v>49</v>
      </c>
      <c r="G1701" s="40">
        <v>640</v>
      </c>
      <c r="H1701" s="9" t="s">
        <v>132</v>
      </c>
      <c r="I1701" s="72">
        <v>200</v>
      </c>
      <c r="J1701" s="72">
        <v>159</v>
      </c>
      <c r="K1701" s="190">
        <f t="shared" si="146"/>
        <v>79.5</v>
      </c>
      <c r="L1701" s="177"/>
      <c r="M1701" s="72"/>
      <c r="N1701" s="72"/>
      <c r="O1701" s="189"/>
      <c r="P1701" s="177"/>
      <c r="Q1701" s="72">
        <f>M1701+I1701</f>
        <v>200</v>
      </c>
      <c r="R1701" s="72">
        <f t="shared" si="148"/>
        <v>159</v>
      </c>
      <c r="S1701" s="188">
        <f t="shared" si="149"/>
        <v>79.5</v>
      </c>
    </row>
    <row r="1702" spans="2:19" ht="15">
      <c r="B1702" s="25">
        <f t="shared" si="150"/>
        <v>45</v>
      </c>
      <c r="C1702" s="2"/>
      <c r="D1702" s="2">
        <v>2</v>
      </c>
      <c r="E1702" s="284" t="s">
        <v>293</v>
      </c>
      <c r="F1702" s="278"/>
      <c r="G1702" s="278"/>
      <c r="H1702" s="279"/>
      <c r="I1702" s="80">
        <f>I1703</f>
        <v>81388</v>
      </c>
      <c r="J1702" s="80">
        <f>J1703</f>
        <v>27127</v>
      </c>
      <c r="K1702" s="190">
        <f t="shared" si="146"/>
        <v>33.33046640782425</v>
      </c>
      <c r="L1702" s="176"/>
      <c r="M1702" s="80"/>
      <c r="N1702" s="80"/>
      <c r="O1702" s="189"/>
      <c r="P1702" s="176"/>
      <c r="Q1702" s="80">
        <f t="shared" si="147"/>
        <v>81388</v>
      </c>
      <c r="R1702" s="80">
        <f t="shared" si="148"/>
        <v>27127</v>
      </c>
      <c r="S1702" s="188">
        <f t="shared" si="149"/>
        <v>33.33046640782425</v>
      </c>
    </row>
    <row r="1703" spans="2:19" ht="15">
      <c r="B1703" s="25">
        <f t="shared" si="150"/>
        <v>46</v>
      </c>
      <c r="C1703" s="12"/>
      <c r="D1703" s="12"/>
      <c r="E1703" s="12">
        <v>5</v>
      </c>
      <c r="F1703" s="35"/>
      <c r="G1703" s="43"/>
      <c r="H1703" s="12" t="s">
        <v>107</v>
      </c>
      <c r="I1703" s="82">
        <f>I1704+I1705+I1706</f>
        <v>81388</v>
      </c>
      <c r="J1703" s="82">
        <f>J1704+J1705+J1706</f>
        <v>27127</v>
      </c>
      <c r="K1703" s="190">
        <f t="shared" si="146"/>
        <v>33.33046640782425</v>
      </c>
      <c r="L1703" s="182"/>
      <c r="M1703" s="82"/>
      <c r="N1703" s="82"/>
      <c r="O1703" s="189"/>
      <c r="P1703" s="182"/>
      <c r="Q1703" s="82">
        <f t="shared" si="147"/>
        <v>81388</v>
      </c>
      <c r="R1703" s="82">
        <f t="shared" si="148"/>
        <v>27127</v>
      </c>
      <c r="S1703" s="188">
        <f t="shared" si="149"/>
        <v>33.33046640782425</v>
      </c>
    </row>
    <row r="1704" spans="2:19" ht="12.75">
      <c r="B1704" s="25">
        <f t="shared" si="150"/>
        <v>47</v>
      </c>
      <c r="C1704" s="9"/>
      <c r="D1704" s="9"/>
      <c r="E1704" s="9"/>
      <c r="F1704" s="31" t="s">
        <v>49</v>
      </c>
      <c r="G1704" s="40">
        <v>610</v>
      </c>
      <c r="H1704" s="9" t="s">
        <v>134</v>
      </c>
      <c r="I1704" s="72">
        <v>50151</v>
      </c>
      <c r="J1704" s="72">
        <v>15740</v>
      </c>
      <c r="K1704" s="190">
        <f t="shared" si="146"/>
        <v>31.385216645729898</v>
      </c>
      <c r="L1704" s="177"/>
      <c r="M1704" s="72"/>
      <c r="N1704" s="72"/>
      <c r="O1704" s="189"/>
      <c r="P1704" s="177"/>
      <c r="Q1704" s="72">
        <f t="shared" si="147"/>
        <v>50151</v>
      </c>
      <c r="R1704" s="72">
        <f t="shared" si="148"/>
        <v>15740</v>
      </c>
      <c r="S1704" s="188">
        <f t="shared" si="149"/>
        <v>31.385216645729898</v>
      </c>
    </row>
    <row r="1705" spans="2:19" ht="12.75">
      <c r="B1705" s="25">
        <f t="shared" si="150"/>
        <v>48</v>
      </c>
      <c r="C1705" s="9"/>
      <c r="D1705" s="9"/>
      <c r="E1705" s="9"/>
      <c r="F1705" s="31" t="s">
        <v>49</v>
      </c>
      <c r="G1705" s="40">
        <v>620</v>
      </c>
      <c r="H1705" s="9" t="s">
        <v>128</v>
      </c>
      <c r="I1705" s="72">
        <v>18400</v>
      </c>
      <c r="J1705" s="72">
        <v>5112</v>
      </c>
      <c r="K1705" s="190">
        <f t="shared" si="146"/>
        <v>27.782608695652172</v>
      </c>
      <c r="L1705" s="177"/>
      <c r="M1705" s="72"/>
      <c r="N1705" s="72"/>
      <c r="O1705" s="189"/>
      <c r="P1705" s="177"/>
      <c r="Q1705" s="72">
        <f t="shared" si="147"/>
        <v>18400</v>
      </c>
      <c r="R1705" s="72">
        <f t="shared" si="148"/>
        <v>5112</v>
      </c>
      <c r="S1705" s="188">
        <f t="shared" si="149"/>
        <v>27.782608695652172</v>
      </c>
    </row>
    <row r="1706" spans="2:19" ht="12.75">
      <c r="B1706" s="25">
        <f t="shared" si="150"/>
        <v>49</v>
      </c>
      <c r="C1706" s="9"/>
      <c r="D1706" s="9"/>
      <c r="E1706" s="9"/>
      <c r="F1706" s="31" t="s">
        <v>49</v>
      </c>
      <c r="G1706" s="40">
        <v>630</v>
      </c>
      <c r="H1706" s="9" t="s">
        <v>125</v>
      </c>
      <c r="I1706" s="72">
        <f>SUM(I1707:I1712)</f>
        <v>12837</v>
      </c>
      <c r="J1706" s="72">
        <f>SUM(J1707:J1712)</f>
        <v>6275</v>
      </c>
      <c r="K1706" s="190">
        <f t="shared" si="146"/>
        <v>48.88213757108359</v>
      </c>
      <c r="L1706" s="177"/>
      <c r="M1706" s="72"/>
      <c r="N1706" s="72"/>
      <c r="O1706" s="189"/>
      <c r="P1706" s="177"/>
      <c r="Q1706" s="72">
        <f t="shared" si="147"/>
        <v>12837</v>
      </c>
      <c r="R1706" s="72">
        <f t="shared" si="148"/>
        <v>6275</v>
      </c>
      <c r="S1706" s="188">
        <f t="shared" si="149"/>
        <v>48.88213757108359</v>
      </c>
    </row>
    <row r="1707" spans="2:19" ht="12.75">
      <c r="B1707" s="25">
        <f t="shared" si="150"/>
        <v>50</v>
      </c>
      <c r="C1707" s="4"/>
      <c r="D1707" s="4"/>
      <c r="E1707" s="4"/>
      <c r="F1707" s="32" t="s">
        <v>49</v>
      </c>
      <c r="G1707" s="41">
        <v>631</v>
      </c>
      <c r="H1707" s="4" t="s">
        <v>131</v>
      </c>
      <c r="I1707" s="71">
        <v>300</v>
      </c>
      <c r="J1707" s="71">
        <v>0</v>
      </c>
      <c r="K1707" s="190">
        <f t="shared" si="146"/>
        <v>0</v>
      </c>
      <c r="L1707" s="178"/>
      <c r="M1707" s="71"/>
      <c r="N1707" s="71"/>
      <c r="O1707" s="189"/>
      <c r="P1707" s="178"/>
      <c r="Q1707" s="71">
        <f t="shared" si="147"/>
        <v>300</v>
      </c>
      <c r="R1707" s="71">
        <f t="shared" si="148"/>
        <v>0</v>
      </c>
      <c r="S1707" s="188">
        <f t="shared" si="149"/>
        <v>0</v>
      </c>
    </row>
    <row r="1708" spans="2:19" ht="12.75">
      <c r="B1708" s="25">
        <f t="shared" si="150"/>
        <v>51</v>
      </c>
      <c r="C1708" s="4"/>
      <c r="D1708" s="4"/>
      <c r="E1708" s="4"/>
      <c r="F1708" s="32" t="s">
        <v>49</v>
      </c>
      <c r="G1708" s="41">
        <v>632</v>
      </c>
      <c r="H1708" s="4" t="s">
        <v>138</v>
      </c>
      <c r="I1708" s="71">
        <v>5190</v>
      </c>
      <c r="J1708" s="71">
        <v>3882</v>
      </c>
      <c r="K1708" s="190">
        <f t="shared" si="146"/>
        <v>74.79768786127168</v>
      </c>
      <c r="L1708" s="178"/>
      <c r="M1708" s="71"/>
      <c r="N1708" s="71"/>
      <c r="O1708" s="189"/>
      <c r="P1708" s="178"/>
      <c r="Q1708" s="71">
        <f t="shared" si="147"/>
        <v>5190</v>
      </c>
      <c r="R1708" s="71">
        <f t="shared" si="148"/>
        <v>3882</v>
      </c>
      <c r="S1708" s="188">
        <f t="shared" si="149"/>
        <v>74.79768786127168</v>
      </c>
    </row>
    <row r="1709" spans="2:19" ht="12.75">
      <c r="B1709" s="25">
        <f t="shared" si="150"/>
        <v>52</v>
      </c>
      <c r="C1709" s="4"/>
      <c r="D1709" s="4"/>
      <c r="E1709" s="4"/>
      <c r="F1709" s="32" t="s">
        <v>49</v>
      </c>
      <c r="G1709" s="41">
        <v>633</v>
      </c>
      <c r="H1709" s="4" t="s">
        <v>129</v>
      </c>
      <c r="I1709" s="71">
        <v>880</v>
      </c>
      <c r="J1709" s="71">
        <v>730</v>
      </c>
      <c r="K1709" s="190">
        <f t="shared" si="146"/>
        <v>82.95454545454545</v>
      </c>
      <c r="L1709" s="178"/>
      <c r="M1709" s="71"/>
      <c r="N1709" s="71"/>
      <c r="O1709" s="189"/>
      <c r="P1709" s="178"/>
      <c r="Q1709" s="71">
        <f t="shared" si="147"/>
        <v>880</v>
      </c>
      <c r="R1709" s="71">
        <f t="shared" si="148"/>
        <v>730</v>
      </c>
      <c r="S1709" s="188">
        <f t="shared" si="149"/>
        <v>82.95454545454545</v>
      </c>
    </row>
    <row r="1710" spans="2:19" ht="12.75">
      <c r="B1710" s="25">
        <f t="shared" si="150"/>
        <v>53</v>
      </c>
      <c r="C1710" s="4"/>
      <c r="D1710" s="4"/>
      <c r="E1710" s="4"/>
      <c r="F1710" s="32" t="s">
        <v>49</v>
      </c>
      <c r="G1710" s="41">
        <v>635</v>
      </c>
      <c r="H1710" s="4" t="s">
        <v>136</v>
      </c>
      <c r="I1710" s="71">
        <v>1800</v>
      </c>
      <c r="J1710" s="71">
        <v>207</v>
      </c>
      <c r="K1710" s="190">
        <f t="shared" si="146"/>
        <v>11.5</v>
      </c>
      <c r="L1710" s="178"/>
      <c r="M1710" s="71"/>
      <c r="N1710" s="71"/>
      <c r="O1710" s="189"/>
      <c r="P1710" s="178"/>
      <c r="Q1710" s="71">
        <f t="shared" si="147"/>
        <v>1800</v>
      </c>
      <c r="R1710" s="71">
        <f t="shared" si="148"/>
        <v>207</v>
      </c>
      <c r="S1710" s="188">
        <f t="shared" si="149"/>
        <v>11.5</v>
      </c>
    </row>
    <row r="1711" spans="2:19" ht="12.75">
      <c r="B1711" s="25">
        <f t="shared" si="150"/>
        <v>54</v>
      </c>
      <c r="C1711" s="4"/>
      <c r="D1711" s="4"/>
      <c r="E1711" s="4"/>
      <c r="F1711" s="32" t="s">
        <v>49</v>
      </c>
      <c r="G1711" s="41">
        <v>637</v>
      </c>
      <c r="H1711" s="4" t="s">
        <v>126</v>
      </c>
      <c r="I1711" s="71">
        <v>3842</v>
      </c>
      <c r="J1711" s="71">
        <v>1383</v>
      </c>
      <c r="K1711" s="190">
        <f t="shared" si="146"/>
        <v>35.996876626756894</v>
      </c>
      <c r="L1711" s="178"/>
      <c r="M1711" s="71"/>
      <c r="N1711" s="71"/>
      <c r="O1711" s="189"/>
      <c r="P1711" s="178"/>
      <c r="Q1711" s="71">
        <f t="shared" si="147"/>
        <v>3842</v>
      </c>
      <c r="R1711" s="71">
        <f t="shared" si="148"/>
        <v>1383</v>
      </c>
      <c r="S1711" s="188">
        <f t="shared" si="149"/>
        <v>35.996876626756894</v>
      </c>
    </row>
    <row r="1712" spans="2:19" ht="12.75">
      <c r="B1712" s="25">
        <f t="shared" si="150"/>
        <v>55</v>
      </c>
      <c r="C1712" s="4"/>
      <c r="D1712" s="4"/>
      <c r="E1712" s="4"/>
      <c r="F1712" s="32" t="s">
        <v>49</v>
      </c>
      <c r="G1712" s="41">
        <v>637</v>
      </c>
      <c r="H1712" s="17" t="s">
        <v>343</v>
      </c>
      <c r="I1712" s="71">
        <v>825</v>
      </c>
      <c r="J1712" s="71">
        <v>73</v>
      </c>
      <c r="K1712" s="190">
        <f t="shared" si="146"/>
        <v>8.848484848484848</v>
      </c>
      <c r="L1712" s="178"/>
      <c r="M1712" s="71"/>
      <c r="N1712" s="71"/>
      <c r="O1712" s="189"/>
      <c r="P1712" s="178"/>
      <c r="Q1712" s="71">
        <f t="shared" si="147"/>
        <v>825</v>
      </c>
      <c r="R1712" s="71">
        <f t="shared" si="148"/>
        <v>73</v>
      </c>
      <c r="S1712" s="188">
        <f t="shared" si="149"/>
        <v>8.848484848484848</v>
      </c>
    </row>
    <row r="1713" spans="2:19" ht="15">
      <c r="B1713" s="25">
        <f t="shared" si="150"/>
        <v>56</v>
      </c>
      <c r="C1713" s="7">
        <v>5</v>
      </c>
      <c r="D1713" s="277" t="s">
        <v>183</v>
      </c>
      <c r="E1713" s="278"/>
      <c r="F1713" s="278"/>
      <c r="G1713" s="278"/>
      <c r="H1713" s="279"/>
      <c r="I1713" s="79">
        <f>I1714+I1724+I1737</f>
        <v>793298</v>
      </c>
      <c r="J1713" s="79">
        <f>J1714+J1724+J1737</f>
        <v>363396</v>
      </c>
      <c r="K1713" s="190">
        <f t="shared" si="146"/>
        <v>45.808258687151614</v>
      </c>
      <c r="L1713" s="175"/>
      <c r="M1713" s="79"/>
      <c r="N1713" s="79"/>
      <c r="O1713" s="189"/>
      <c r="P1713" s="175"/>
      <c r="Q1713" s="79">
        <f t="shared" si="147"/>
        <v>793298</v>
      </c>
      <c r="R1713" s="79">
        <f t="shared" si="148"/>
        <v>363396</v>
      </c>
      <c r="S1713" s="188">
        <f t="shared" si="149"/>
        <v>45.808258687151614</v>
      </c>
    </row>
    <row r="1714" spans="2:19" ht="15">
      <c r="B1714" s="25">
        <f t="shared" si="150"/>
        <v>57</v>
      </c>
      <c r="C1714" s="2"/>
      <c r="D1714" s="2">
        <v>1</v>
      </c>
      <c r="E1714" s="284" t="s">
        <v>182</v>
      </c>
      <c r="F1714" s="278"/>
      <c r="G1714" s="278"/>
      <c r="H1714" s="279"/>
      <c r="I1714" s="80">
        <f>I1715+I1719</f>
        <v>11699</v>
      </c>
      <c r="J1714" s="80">
        <f>J1715+J1719</f>
        <v>0</v>
      </c>
      <c r="K1714" s="190">
        <f t="shared" si="146"/>
        <v>0</v>
      </c>
      <c r="L1714" s="176"/>
      <c r="M1714" s="80"/>
      <c r="N1714" s="80"/>
      <c r="O1714" s="189"/>
      <c r="P1714" s="176"/>
      <c r="Q1714" s="80">
        <f t="shared" si="147"/>
        <v>11699</v>
      </c>
      <c r="R1714" s="80">
        <f t="shared" si="148"/>
        <v>0</v>
      </c>
      <c r="S1714" s="188">
        <f t="shared" si="149"/>
        <v>0</v>
      </c>
    </row>
    <row r="1715" spans="2:19" ht="12.75">
      <c r="B1715" s="25">
        <f t="shared" si="150"/>
        <v>58</v>
      </c>
      <c r="C1715" s="9"/>
      <c r="D1715" s="9"/>
      <c r="E1715" s="9"/>
      <c r="F1715" s="31" t="s">
        <v>76</v>
      </c>
      <c r="G1715" s="40">
        <v>630</v>
      </c>
      <c r="H1715" s="9" t="s">
        <v>125</v>
      </c>
      <c r="I1715" s="72">
        <f>SUM(I1716:I1718)</f>
        <v>6999</v>
      </c>
      <c r="J1715" s="72">
        <f>SUM(J1716:J1718)</f>
        <v>0</v>
      </c>
      <c r="K1715" s="190">
        <f t="shared" si="146"/>
        <v>0</v>
      </c>
      <c r="L1715" s="177"/>
      <c r="M1715" s="72"/>
      <c r="N1715" s="72"/>
      <c r="O1715" s="189"/>
      <c r="P1715" s="177"/>
      <c r="Q1715" s="72">
        <f t="shared" si="147"/>
        <v>6999</v>
      </c>
      <c r="R1715" s="72">
        <f t="shared" si="148"/>
        <v>0</v>
      </c>
      <c r="S1715" s="188">
        <f t="shared" si="149"/>
        <v>0</v>
      </c>
    </row>
    <row r="1716" spans="2:19" ht="12.75">
      <c r="B1716" s="25">
        <f t="shared" si="150"/>
        <v>59</v>
      </c>
      <c r="C1716" s="4"/>
      <c r="D1716" s="4"/>
      <c r="E1716" s="4"/>
      <c r="F1716" s="32" t="s">
        <v>76</v>
      </c>
      <c r="G1716" s="41">
        <v>633</v>
      </c>
      <c r="H1716" s="4" t="s">
        <v>129</v>
      </c>
      <c r="I1716" s="71">
        <v>4000</v>
      </c>
      <c r="J1716" s="71">
        <v>0</v>
      </c>
      <c r="K1716" s="190">
        <f t="shared" si="146"/>
        <v>0</v>
      </c>
      <c r="L1716" s="178"/>
      <c r="M1716" s="71"/>
      <c r="N1716" s="71"/>
      <c r="O1716" s="189"/>
      <c r="P1716" s="178"/>
      <c r="Q1716" s="71">
        <f t="shared" si="147"/>
        <v>4000</v>
      </c>
      <c r="R1716" s="71">
        <f t="shared" si="148"/>
        <v>0</v>
      </c>
      <c r="S1716" s="188">
        <f t="shared" si="149"/>
        <v>0</v>
      </c>
    </row>
    <row r="1717" spans="2:19" ht="12.75">
      <c r="B1717" s="25">
        <f t="shared" si="150"/>
        <v>60</v>
      </c>
      <c r="C1717" s="4"/>
      <c r="D1717" s="4"/>
      <c r="E1717" s="4"/>
      <c r="F1717" s="32" t="s">
        <v>76</v>
      </c>
      <c r="G1717" s="41">
        <v>634</v>
      </c>
      <c r="H1717" s="4" t="s">
        <v>135</v>
      </c>
      <c r="I1717" s="71">
        <v>350</v>
      </c>
      <c r="J1717" s="71">
        <v>0</v>
      </c>
      <c r="K1717" s="190">
        <f t="shared" si="146"/>
        <v>0</v>
      </c>
      <c r="L1717" s="178"/>
      <c r="M1717" s="71"/>
      <c r="N1717" s="71"/>
      <c r="O1717" s="189"/>
      <c r="P1717" s="178"/>
      <c r="Q1717" s="71">
        <f t="shared" si="147"/>
        <v>350</v>
      </c>
      <c r="R1717" s="71">
        <f t="shared" si="148"/>
        <v>0</v>
      </c>
      <c r="S1717" s="188">
        <f t="shared" si="149"/>
        <v>0</v>
      </c>
    </row>
    <row r="1718" spans="2:19" ht="12.75">
      <c r="B1718" s="25">
        <f t="shared" si="150"/>
        <v>61</v>
      </c>
      <c r="C1718" s="4"/>
      <c r="D1718" s="4"/>
      <c r="E1718" s="4"/>
      <c r="F1718" s="32" t="s">
        <v>76</v>
      </c>
      <c r="G1718" s="41">
        <v>637</v>
      </c>
      <c r="H1718" s="4" t="s">
        <v>126</v>
      </c>
      <c r="I1718" s="71">
        <v>2649</v>
      </c>
      <c r="J1718" s="71">
        <v>0</v>
      </c>
      <c r="K1718" s="190">
        <f t="shared" si="146"/>
        <v>0</v>
      </c>
      <c r="L1718" s="178"/>
      <c r="M1718" s="71"/>
      <c r="N1718" s="71"/>
      <c r="O1718" s="189"/>
      <c r="P1718" s="178"/>
      <c r="Q1718" s="71">
        <f t="shared" si="147"/>
        <v>2649</v>
      </c>
      <c r="R1718" s="71">
        <f t="shared" si="148"/>
        <v>0</v>
      </c>
      <c r="S1718" s="188">
        <f t="shared" si="149"/>
        <v>0</v>
      </c>
    </row>
    <row r="1719" spans="2:19" ht="12.75">
      <c r="B1719" s="25">
        <f t="shared" si="150"/>
        <v>62</v>
      </c>
      <c r="C1719" s="9"/>
      <c r="D1719" s="9"/>
      <c r="E1719" s="9"/>
      <c r="F1719" s="31" t="s">
        <v>73</v>
      </c>
      <c r="G1719" s="40">
        <v>640</v>
      </c>
      <c r="H1719" s="9" t="s">
        <v>132</v>
      </c>
      <c r="I1719" s="72">
        <f>I1720</f>
        <v>4700</v>
      </c>
      <c r="J1719" s="72">
        <f>J1720</f>
        <v>0</v>
      </c>
      <c r="K1719" s="190">
        <f t="shared" si="146"/>
        <v>0</v>
      </c>
      <c r="L1719" s="177"/>
      <c r="M1719" s="72"/>
      <c r="N1719" s="72"/>
      <c r="O1719" s="189"/>
      <c r="P1719" s="177"/>
      <c r="Q1719" s="72">
        <f t="shared" si="147"/>
        <v>4700</v>
      </c>
      <c r="R1719" s="72">
        <f t="shared" si="148"/>
        <v>0</v>
      </c>
      <c r="S1719" s="188">
        <f t="shared" si="149"/>
        <v>0</v>
      </c>
    </row>
    <row r="1720" spans="2:19" ht="12.75">
      <c r="B1720" s="25">
        <f t="shared" si="150"/>
        <v>63</v>
      </c>
      <c r="C1720" s="4"/>
      <c r="D1720" s="4"/>
      <c r="E1720" s="4"/>
      <c r="F1720" s="32" t="s">
        <v>73</v>
      </c>
      <c r="G1720" s="41">
        <v>642</v>
      </c>
      <c r="H1720" s="4" t="s">
        <v>133</v>
      </c>
      <c r="I1720" s="71">
        <f>SUM(I1721:I1723)</f>
        <v>4700</v>
      </c>
      <c r="J1720" s="71">
        <f>SUM(J1721:J1723)</f>
        <v>0</v>
      </c>
      <c r="K1720" s="190">
        <f t="shared" si="146"/>
        <v>0</v>
      </c>
      <c r="L1720" s="178"/>
      <c r="M1720" s="71"/>
      <c r="N1720" s="71"/>
      <c r="O1720" s="189"/>
      <c r="P1720" s="178"/>
      <c r="Q1720" s="71">
        <f t="shared" si="147"/>
        <v>4700</v>
      </c>
      <c r="R1720" s="71">
        <f t="shared" si="148"/>
        <v>0</v>
      </c>
      <c r="S1720" s="188">
        <f t="shared" si="149"/>
        <v>0</v>
      </c>
    </row>
    <row r="1721" spans="2:19" ht="12.75">
      <c r="B1721" s="25">
        <f t="shared" si="150"/>
        <v>64</v>
      </c>
      <c r="C1721" s="5"/>
      <c r="D1721" s="5"/>
      <c r="E1721" s="5"/>
      <c r="F1721" s="33"/>
      <c r="G1721" s="42"/>
      <c r="H1721" s="5" t="s">
        <v>243</v>
      </c>
      <c r="I1721" s="75">
        <v>1500</v>
      </c>
      <c r="J1721" s="75">
        <v>0</v>
      </c>
      <c r="K1721" s="190">
        <f t="shared" si="146"/>
        <v>0</v>
      </c>
      <c r="L1721" s="99"/>
      <c r="M1721" s="75"/>
      <c r="N1721" s="75"/>
      <c r="O1721" s="189"/>
      <c r="P1721" s="99"/>
      <c r="Q1721" s="75">
        <f t="shared" si="147"/>
        <v>1500</v>
      </c>
      <c r="R1721" s="75">
        <f t="shared" si="148"/>
        <v>0</v>
      </c>
      <c r="S1721" s="188">
        <f t="shared" si="149"/>
        <v>0</v>
      </c>
    </row>
    <row r="1722" spans="2:19" ht="12.75">
      <c r="B1722" s="25">
        <f t="shared" si="150"/>
        <v>65</v>
      </c>
      <c r="C1722" s="5"/>
      <c r="D1722" s="5"/>
      <c r="E1722" s="5"/>
      <c r="F1722" s="33"/>
      <c r="G1722" s="42"/>
      <c r="H1722" s="5" t="s">
        <v>244</v>
      </c>
      <c r="I1722" s="75">
        <v>2200</v>
      </c>
      <c r="J1722" s="75">
        <v>0</v>
      </c>
      <c r="K1722" s="190">
        <f aca="true" t="shared" si="151" ref="K1722:K1785">J1722/I1722*100</f>
        <v>0</v>
      </c>
      <c r="L1722" s="99"/>
      <c r="M1722" s="75"/>
      <c r="N1722" s="75"/>
      <c r="O1722" s="189"/>
      <c r="P1722" s="99"/>
      <c r="Q1722" s="75">
        <f aca="true" t="shared" si="152" ref="Q1722:Q1785">M1722+I1722</f>
        <v>2200</v>
      </c>
      <c r="R1722" s="75">
        <f aca="true" t="shared" si="153" ref="R1722:R1785">N1722+J1722</f>
        <v>0</v>
      </c>
      <c r="S1722" s="188">
        <f aca="true" t="shared" si="154" ref="S1722:S1785">R1722/Q1722*100</f>
        <v>0</v>
      </c>
    </row>
    <row r="1723" spans="2:19" ht="12.75">
      <c r="B1723" s="25">
        <f t="shared" si="150"/>
        <v>66</v>
      </c>
      <c r="C1723" s="5"/>
      <c r="D1723" s="5"/>
      <c r="E1723" s="5"/>
      <c r="F1723" s="33"/>
      <c r="G1723" s="42"/>
      <c r="H1723" s="5" t="s">
        <v>4</v>
      </c>
      <c r="I1723" s="75">
        <v>1000</v>
      </c>
      <c r="J1723" s="75">
        <v>0</v>
      </c>
      <c r="K1723" s="190">
        <f t="shared" si="151"/>
        <v>0</v>
      </c>
      <c r="L1723" s="99"/>
      <c r="M1723" s="75"/>
      <c r="N1723" s="75"/>
      <c r="O1723" s="189"/>
      <c r="P1723" s="99"/>
      <c r="Q1723" s="75">
        <f t="shared" si="152"/>
        <v>1000</v>
      </c>
      <c r="R1723" s="75">
        <f t="shared" si="153"/>
        <v>0</v>
      </c>
      <c r="S1723" s="188">
        <f t="shared" si="154"/>
        <v>0</v>
      </c>
    </row>
    <row r="1724" spans="2:19" ht="15">
      <c r="B1724" s="25">
        <f t="shared" si="150"/>
        <v>67</v>
      </c>
      <c r="C1724" s="2"/>
      <c r="D1724" s="2">
        <v>2</v>
      </c>
      <c r="E1724" s="284" t="s">
        <v>56</v>
      </c>
      <c r="F1724" s="278"/>
      <c r="G1724" s="278"/>
      <c r="H1724" s="279"/>
      <c r="I1724" s="80">
        <f>I1725</f>
        <v>756659</v>
      </c>
      <c r="J1724" s="80">
        <f>J1725</f>
        <v>354973</v>
      </c>
      <c r="K1724" s="190">
        <f t="shared" si="151"/>
        <v>46.91320660958239</v>
      </c>
      <c r="L1724" s="176"/>
      <c r="M1724" s="80"/>
      <c r="N1724" s="80"/>
      <c r="O1724" s="189"/>
      <c r="P1724" s="176"/>
      <c r="Q1724" s="80">
        <f t="shared" si="152"/>
        <v>756659</v>
      </c>
      <c r="R1724" s="80">
        <f t="shared" si="153"/>
        <v>354973</v>
      </c>
      <c r="S1724" s="188">
        <f t="shared" si="154"/>
        <v>46.91320660958239</v>
      </c>
    </row>
    <row r="1725" spans="2:19" ht="15">
      <c r="B1725" s="25">
        <f aca="true" t="shared" si="155" ref="B1725:B1788">B1724+1</f>
        <v>68</v>
      </c>
      <c r="C1725" s="12"/>
      <c r="D1725" s="12"/>
      <c r="E1725" s="12">
        <v>5</v>
      </c>
      <c r="F1725" s="35"/>
      <c r="G1725" s="43"/>
      <c r="H1725" s="12" t="s">
        <v>107</v>
      </c>
      <c r="I1725" s="82">
        <f>I1726+I1727+I1728+I1736</f>
        <v>756659</v>
      </c>
      <c r="J1725" s="82">
        <f>J1726+J1727+J1728+J1736</f>
        <v>354973</v>
      </c>
      <c r="K1725" s="190">
        <f t="shared" si="151"/>
        <v>46.91320660958239</v>
      </c>
      <c r="L1725" s="182"/>
      <c r="M1725" s="82"/>
      <c r="N1725" s="82"/>
      <c r="O1725" s="189"/>
      <c r="P1725" s="182"/>
      <c r="Q1725" s="82">
        <f t="shared" si="152"/>
        <v>756659</v>
      </c>
      <c r="R1725" s="82">
        <f t="shared" si="153"/>
        <v>354973</v>
      </c>
      <c r="S1725" s="188">
        <f t="shared" si="154"/>
        <v>46.91320660958239</v>
      </c>
    </row>
    <row r="1726" spans="2:19" ht="12.75">
      <c r="B1726" s="25">
        <f t="shared" si="155"/>
        <v>69</v>
      </c>
      <c r="C1726" s="9"/>
      <c r="D1726" s="9"/>
      <c r="E1726" s="9"/>
      <c r="F1726" s="31" t="s">
        <v>76</v>
      </c>
      <c r="G1726" s="40">
        <v>610</v>
      </c>
      <c r="H1726" s="9" t="s">
        <v>134</v>
      </c>
      <c r="I1726" s="72">
        <v>403874</v>
      </c>
      <c r="J1726" s="72">
        <v>181051</v>
      </c>
      <c r="K1726" s="190">
        <f t="shared" si="151"/>
        <v>44.82858515279518</v>
      </c>
      <c r="L1726" s="177"/>
      <c r="M1726" s="72"/>
      <c r="N1726" s="72"/>
      <c r="O1726" s="189"/>
      <c r="P1726" s="177"/>
      <c r="Q1726" s="72">
        <f t="shared" si="152"/>
        <v>403874</v>
      </c>
      <c r="R1726" s="72">
        <f t="shared" si="153"/>
        <v>181051</v>
      </c>
      <c r="S1726" s="188">
        <f t="shared" si="154"/>
        <v>44.82858515279518</v>
      </c>
    </row>
    <row r="1727" spans="2:19" ht="12.75">
      <c r="B1727" s="25">
        <f t="shared" si="155"/>
        <v>70</v>
      </c>
      <c r="C1727" s="9"/>
      <c r="D1727" s="9"/>
      <c r="E1727" s="9"/>
      <c r="F1727" s="31" t="s">
        <v>76</v>
      </c>
      <c r="G1727" s="40">
        <v>620</v>
      </c>
      <c r="H1727" s="9" t="s">
        <v>128</v>
      </c>
      <c r="I1727" s="72">
        <v>146656</v>
      </c>
      <c r="J1727" s="72">
        <v>57876</v>
      </c>
      <c r="K1727" s="190">
        <f t="shared" si="151"/>
        <v>39.46377918394065</v>
      </c>
      <c r="L1727" s="177"/>
      <c r="M1727" s="72"/>
      <c r="N1727" s="72"/>
      <c r="O1727" s="189"/>
      <c r="P1727" s="177"/>
      <c r="Q1727" s="72">
        <f t="shared" si="152"/>
        <v>146656</v>
      </c>
      <c r="R1727" s="72">
        <f t="shared" si="153"/>
        <v>57876</v>
      </c>
      <c r="S1727" s="188">
        <f t="shared" si="154"/>
        <v>39.46377918394065</v>
      </c>
    </row>
    <row r="1728" spans="2:19" ht="12.75">
      <c r="B1728" s="25">
        <f t="shared" si="155"/>
        <v>71</v>
      </c>
      <c r="C1728" s="9"/>
      <c r="D1728" s="9"/>
      <c r="E1728" s="9"/>
      <c r="F1728" s="31" t="s">
        <v>76</v>
      </c>
      <c r="G1728" s="40">
        <v>630</v>
      </c>
      <c r="H1728" s="9" t="s">
        <v>125</v>
      </c>
      <c r="I1728" s="72">
        <f>SUM(I1729:I1735)</f>
        <v>205129</v>
      </c>
      <c r="J1728" s="72">
        <f>SUM(J1729:J1735)</f>
        <v>114969</v>
      </c>
      <c r="K1728" s="190">
        <f t="shared" si="151"/>
        <v>56.04717031721502</v>
      </c>
      <c r="L1728" s="177"/>
      <c r="M1728" s="72"/>
      <c r="N1728" s="72"/>
      <c r="O1728" s="189"/>
      <c r="P1728" s="177"/>
      <c r="Q1728" s="72">
        <f t="shared" si="152"/>
        <v>205129</v>
      </c>
      <c r="R1728" s="72">
        <f t="shared" si="153"/>
        <v>114969</v>
      </c>
      <c r="S1728" s="188">
        <f t="shared" si="154"/>
        <v>56.04717031721502</v>
      </c>
    </row>
    <row r="1729" spans="2:19" ht="12.75">
      <c r="B1729" s="25">
        <f t="shared" si="155"/>
        <v>72</v>
      </c>
      <c r="C1729" s="4"/>
      <c r="D1729" s="4"/>
      <c r="E1729" s="4"/>
      <c r="F1729" s="32" t="s">
        <v>76</v>
      </c>
      <c r="G1729" s="41">
        <v>631</v>
      </c>
      <c r="H1729" s="4" t="s">
        <v>131</v>
      </c>
      <c r="I1729" s="71">
        <v>200</v>
      </c>
      <c r="J1729" s="71">
        <v>0</v>
      </c>
      <c r="K1729" s="190">
        <f t="shared" si="151"/>
        <v>0</v>
      </c>
      <c r="L1729" s="178"/>
      <c r="M1729" s="71"/>
      <c r="N1729" s="71"/>
      <c r="O1729" s="189"/>
      <c r="P1729" s="178"/>
      <c r="Q1729" s="71">
        <f t="shared" si="152"/>
        <v>200</v>
      </c>
      <c r="R1729" s="71">
        <f t="shared" si="153"/>
        <v>0</v>
      </c>
      <c r="S1729" s="188">
        <f t="shared" si="154"/>
        <v>0</v>
      </c>
    </row>
    <row r="1730" spans="2:19" ht="12.75">
      <c r="B1730" s="25">
        <f t="shared" si="155"/>
        <v>73</v>
      </c>
      <c r="C1730" s="4"/>
      <c r="D1730" s="4"/>
      <c r="E1730" s="4"/>
      <c r="F1730" s="32" t="s">
        <v>76</v>
      </c>
      <c r="G1730" s="41">
        <v>632</v>
      </c>
      <c r="H1730" s="4" t="s">
        <v>138</v>
      </c>
      <c r="I1730" s="71">
        <v>55477</v>
      </c>
      <c r="J1730" s="71">
        <v>31646</v>
      </c>
      <c r="K1730" s="190">
        <f t="shared" si="151"/>
        <v>57.04345945166466</v>
      </c>
      <c r="L1730" s="178"/>
      <c r="M1730" s="71"/>
      <c r="N1730" s="71"/>
      <c r="O1730" s="189"/>
      <c r="P1730" s="178"/>
      <c r="Q1730" s="71">
        <f t="shared" si="152"/>
        <v>55477</v>
      </c>
      <c r="R1730" s="71">
        <f t="shared" si="153"/>
        <v>31646</v>
      </c>
      <c r="S1730" s="188">
        <f t="shared" si="154"/>
        <v>57.04345945166466</v>
      </c>
    </row>
    <row r="1731" spans="2:19" ht="12.75">
      <c r="B1731" s="25">
        <f t="shared" si="155"/>
        <v>74</v>
      </c>
      <c r="C1731" s="4"/>
      <c r="D1731" s="4"/>
      <c r="E1731" s="4"/>
      <c r="F1731" s="32" t="s">
        <v>76</v>
      </c>
      <c r="G1731" s="41">
        <v>633</v>
      </c>
      <c r="H1731" s="4" t="s">
        <v>129</v>
      </c>
      <c r="I1731" s="71">
        <f>21426+400+718</f>
        <v>22544</v>
      </c>
      <c r="J1731" s="71">
        <v>9199</v>
      </c>
      <c r="K1731" s="190">
        <f t="shared" si="151"/>
        <v>40.80464868701206</v>
      </c>
      <c r="L1731" s="178"/>
      <c r="M1731" s="71"/>
      <c r="N1731" s="71"/>
      <c r="O1731" s="189"/>
      <c r="P1731" s="178"/>
      <c r="Q1731" s="71">
        <f t="shared" si="152"/>
        <v>22544</v>
      </c>
      <c r="R1731" s="71">
        <f t="shared" si="153"/>
        <v>9199</v>
      </c>
      <c r="S1731" s="188">
        <f t="shared" si="154"/>
        <v>40.80464868701206</v>
      </c>
    </row>
    <row r="1732" spans="2:19" ht="12.75">
      <c r="B1732" s="25">
        <f t="shared" si="155"/>
        <v>75</v>
      </c>
      <c r="C1732" s="4"/>
      <c r="D1732" s="4"/>
      <c r="E1732" s="4"/>
      <c r="F1732" s="32" t="s">
        <v>76</v>
      </c>
      <c r="G1732" s="41">
        <v>634</v>
      </c>
      <c r="H1732" s="4" t="s">
        <v>135</v>
      </c>
      <c r="I1732" s="71">
        <v>2300</v>
      </c>
      <c r="J1732" s="71">
        <v>157</v>
      </c>
      <c r="K1732" s="190">
        <f t="shared" si="151"/>
        <v>6.826086956521739</v>
      </c>
      <c r="L1732" s="178"/>
      <c r="M1732" s="71"/>
      <c r="N1732" s="71"/>
      <c r="O1732" s="189"/>
      <c r="P1732" s="178"/>
      <c r="Q1732" s="71">
        <f t="shared" si="152"/>
        <v>2300</v>
      </c>
      <c r="R1732" s="71">
        <f t="shared" si="153"/>
        <v>157</v>
      </c>
      <c r="S1732" s="188">
        <f t="shared" si="154"/>
        <v>6.826086956521739</v>
      </c>
    </row>
    <row r="1733" spans="2:19" ht="12.75">
      <c r="B1733" s="25">
        <f t="shared" si="155"/>
        <v>76</v>
      </c>
      <c r="C1733" s="4"/>
      <c r="D1733" s="4"/>
      <c r="E1733" s="4"/>
      <c r="F1733" s="32" t="s">
        <v>76</v>
      </c>
      <c r="G1733" s="41">
        <v>635</v>
      </c>
      <c r="H1733" s="4" t="s">
        <v>136</v>
      </c>
      <c r="I1733" s="71">
        <v>6800</v>
      </c>
      <c r="J1733" s="71">
        <v>1803</v>
      </c>
      <c r="K1733" s="190">
        <f t="shared" si="151"/>
        <v>26.514705882352942</v>
      </c>
      <c r="L1733" s="178"/>
      <c r="M1733" s="71"/>
      <c r="N1733" s="71"/>
      <c r="O1733" s="189"/>
      <c r="P1733" s="178"/>
      <c r="Q1733" s="71">
        <f t="shared" si="152"/>
        <v>6800</v>
      </c>
      <c r="R1733" s="71">
        <f t="shared" si="153"/>
        <v>1803</v>
      </c>
      <c r="S1733" s="188">
        <f t="shared" si="154"/>
        <v>26.514705882352942</v>
      </c>
    </row>
    <row r="1734" spans="2:19" ht="12.75">
      <c r="B1734" s="25">
        <f t="shared" si="155"/>
        <v>77</v>
      </c>
      <c r="C1734" s="4"/>
      <c r="D1734" s="4"/>
      <c r="E1734" s="4"/>
      <c r="F1734" s="32" t="s">
        <v>76</v>
      </c>
      <c r="G1734" s="41">
        <v>637</v>
      </c>
      <c r="H1734" s="4" t="s">
        <v>126</v>
      </c>
      <c r="I1734" s="71">
        <v>111208</v>
      </c>
      <c r="J1734" s="71">
        <v>71971</v>
      </c>
      <c r="K1734" s="190">
        <f t="shared" si="151"/>
        <v>64.71746636932595</v>
      </c>
      <c r="L1734" s="178"/>
      <c r="M1734" s="71"/>
      <c r="N1734" s="71"/>
      <c r="O1734" s="189"/>
      <c r="P1734" s="178"/>
      <c r="Q1734" s="71">
        <f t="shared" si="152"/>
        <v>111208</v>
      </c>
      <c r="R1734" s="71">
        <f t="shared" si="153"/>
        <v>71971</v>
      </c>
      <c r="S1734" s="188">
        <f t="shared" si="154"/>
        <v>64.71746636932595</v>
      </c>
    </row>
    <row r="1735" spans="2:19" ht="12.75">
      <c r="B1735" s="25">
        <f t="shared" si="155"/>
        <v>78</v>
      </c>
      <c r="C1735" s="4"/>
      <c r="D1735" s="4"/>
      <c r="E1735" s="4"/>
      <c r="F1735" s="32" t="s">
        <v>76</v>
      </c>
      <c r="G1735" s="41">
        <v>637</v>
      </c>
      <c r="H1735" s="4" t="s">
        <v>343</v>
      </c>
      <c r="I1735" s="71">
        <v>6600</v>
      </c>
      <c r="J1735" s="71">
        <v>193</v>
      </c>
      <c r="K1735" s="190">
        <f t="shared" si="151"/>
        <v>2.9242424242424243</v>
      </c>
      <c r="L1735" s="178"/>
      <c r="M1735" s="71"/>
      <c r="N1735" s="71"/>
      <c r="O1735" s="189"/>
      <c r="P1735" s="178"/>
      <c r="Q1735" s="71">
        <f t="shared" si="152"/>
        <v>6600</v>
      </c>
      <c r="R1735" s="71">
        <f t="shared" si="153"/>
        <v>193</v>
      </c>
      <c r="S1735" s="188">
        <f t="shared" si="154"/>
        <v>2.9242424242424243</v>
      </c>
    </row>
    <row r="1736" spans="2:19" ht="12.75">
      <c r="B1736" s="25">
        <f t="shared" si="155"/>
        <v>79</v>
      </c>
      <c r="C1736" s="9"/>
      <c r="D1736" s="9"/>
      <c r="E1736" s="9"/>
      <c r="F1736" s="31" t="s">
        <v>76</v>
      </c>
      <c r="G1736" s="40">
        <v>640</v>
      </c>
      <c r="H1736" s="9" t="s">
        <v>132</v>
      </c>
      <c r="I1736" s="72">
        <v>1000</v>
      </c>
      <c r="J1736" s="72">
        <v>1077</v>
      </c>
      <c r="K1736" s="190">
        <f t="shared" si="151"/>
        <v>107.69999999999999</v>
      </c>
      <c r="L1736" s="177"/>
      <c r="M1736" s="72"/>
      <c r="N1736" s="72"/>
      <c r="O1736" s="189"/>
      <c r="P1736" s="177"/>
      <c r="Q1736" s="72">
        <f t="shared" si="152"/>
        <v>1000</v>
      </c>
      <c r="R1736" s="72">
        <f t="shared" si="153"/>
        <v>1077</v>
      </c>
      <c r="S1736" s="188">
        <f t="shared" si="154"/>
        <v>107.69999999999999</v>
      </c>
    </row>
    <row r="1737" spans="2:19" ht="15">
      <c r="B1737" s="25">
        <f t="shared" si="155"/>
        <v>80</v>
      </c>
      <c r="C1737" s="2"/>
      <c r="D1737" s="2">
        <v>3</v>
      </c>
      <c r="E1737" s="284" t="s">
        <v>411</v>
      </c>
      <c r="F1737" s="278"/>
      <c r="G1737" s="278"/>
      <c r="H1737" s="279"/>
      <c r="I1737" s="80">
        <f>I1738</f>
        <v>24940</v>
      </c>
      <c r="J1737" s="80">
        <f>J1738</f>
        <v>8423</v>
      </c>
      <c r="K1737" s="190">
        <f t="shared" si="151"/>
        <v>33.77305533279872</v>
      </c>
      <c r="L1737" s="176"/>
      <c r="M1737" s="80"/>
      <c r="N1737" s="80"/>
      <c r="O1737" s="189"/>
      <c r="P1737" s="176"/>
      <c r="Q1737" s="80">
        <f t="shared" si="152"/>
        <v>24940</v>
      </c>
      <c r="R1737" s="80">
        <f t="shared" si="153"/>
        <v>8423</v>
      </c>
      <c r="S1737" s="188">
        <f t="shared" si="154"/>
        <v>33.77305533279872</v>
      </c>
    </row>
    <row r="1738" spans="2:19" ht="12.75">
      <c r="B1738" s="25">
        <f t="shared" si="155"/>
        <v>81</v>
      </c>
      <c r="C1738" s="9"/>
      <c r="D1738" s="9"/>
      <c r="E1738" s="9"/>
      <c r="F1738" s="31" t="s">
        <v>76</v>
      </c>
      <c r="G1738" s="40">
        <v>630</v>
      </c>
      <c r="H1738" s="9" t="s">
        <v>125</v>
      </c>
      <c r="I1738" s="72">
        <f>SUM(I1739:I1742)</f>
        <v>24940</v>
      </c>
      <c r="J1738" s="72">
        <f>SUM(J1739:J1742)</f>
        <v>8423</v>
      </c>
      <c r="K1738" s="190">
        <f t="shared" si="151"/>
        <v>33.77305533279872</v>
      </c>
      <c r="L1738" s="177"/>
      <c r="M1738" s="72"/>
      <c r="N1738" s="72"/>
      <c r="O1738" s="189"/>
      <c r="P1738" s="177"/>
      <c r="Q1738" s="72">
        <f t="shared" si="152"/>
        <v>24940</v>
      </c>
      <c r="R1738" s="72">
        <f t="shared" si="153"/>
        <v>8423</v>
      </c>
      <c r="S1738" s="188">
        <f t="shared" si="154"/>
        <v>33.77305533279872</v>
      </c>
    </row>
    <row r="1739" spans="2:19" ht="12.75">
      <c r="B1739" s="25">
        <f t="shared" si="155"/>
        <v>82</v>
      </c>
      <c r="C1739" s="4"/>
      <c r="D1739" s="4"/>
      <c r="E1739" s="4"/>
      <c r="F1739" s="32" t="s">
        <v>76</v>
      </c>
      <c r="G1739" s="41">
        <v>632</v>
      </c>
      <c r="H1739" s="4" t="s">
        <v>138</v>
      </c>
      <c r="I1739" s="71">
        <f>18300-500</f>
        <v>17800</v>
      </c>
      <c r="J1739" s="71">
        <v>7653</v>
      </c>
      <c r="K1739" s="190">
        <f t="shared" si="151"/>
        <v>42.99438202247191</v>
      </c>
      <c r="L1739" s="178"/>
      <c r="M1739" s="71"/>
      <c r="N1739" s="71"/>
      <c r="O1739" s="189"/>
      <c r="P1739" s="178"/>
      <c r="Q1739" s="71">
        <f t="shared" si="152"/>
        <v>17800</v>
      </c>
      <c r="R1739" s="71">
        <f t="shared" si="153"/>
        <v>7653</v>
      </c>
      <c r="S1739" s="188">
        <f t="shared" si="154"/>
        <v>42.99438202247191</v>
      </c>
    </row>
    <row r="1740" spans="2:19" ht="12.75">
      <c r="B1740" s="25">
        <f t="shared" si="155"/>
        <v>83</v>
      </c>
      <c r="C1740" s="4"/>
      <c r="D1740" s="4"/>
      <c r="E1740" s="4"/>
      <c r="F1740" s="32" t="s">
        <v>76</v>
      </c>
      <c r="G1740" s="41">
        <v>633</v>
      </c>
      <c r="H1740" s="4" t="s">
        <v>129</v>
      </c>
      <c r="I1740" s="71">
        <v>2000</v>
      </c>
      <c r="J1740" s="71">
        <v>440</v>
      </c>
      <c r="K1740" s="190">
        <f t="shared" si="151"/>
        <v>22</v>
      </c>
      <c r="L1740" s="178"/>
      <c r="M1740" s="71"/>
      <c r="N1740" s="71"/>
      <c r="O1740" s="189"/>
      <c r="P1740" s="178"/>
      <c r="Q1740" s="71">
        <f t="shared" si="152"/>
        <v>2000</v>
      </c>
      <c r="R1740" s="71">
        <f t="shared" si="153"/>
        <v>440</v>
      </c>
      <c r="S1740" s="188">
        <f t="shared" si="154"/>
        <v>22</v>
      </c>
    </row>
    <row r="1741" spans="2:19" ht="12.75">
      <c r="B1741" s="25">
        <f t="shared" si="155"/>
        <v>84</v>
      </c>
      <c r="C1741" s="4"/>
      <c r="D1741" s="4"/>
      <c r="E1741" s="4"/>
      <c r="F1741" s="32" t="s">
        <v>76</v>
      </c>
      <c r="G1741" s="41">
        <v>635</v>
      </c>
      <c r="H1741" s="4" t="s">
        <v>136</v>
      </c>
      <c r="I1741" s="71">
        <v>3000</v>
      </c>
      <c r="J1741" s="71">
        <v>0</v>
      </c>
      <c r="K1741" s="190">
        <f t="shared" si="151"/>
        <v>0</v>
      </c>
      <c r="L1741" s="178"/>
      <c r="M1741" s="71"/>
      <c r="N1741" s="71"/>
      <c r="O1741" s="189"/>
      <c r="P1741" s="178"/>
      <c r="Q1741" s="71">
        <f t="shared" si="152"/>
        <v>3000</v>
      </c>
      <c r="R1741" s="71">
        <f t="shared" si="153"/>
        <v>0</v>
      </c>
      <c r="S1741" s="188">
        <f t="shared" si="154"/>
        <v>0</v>
      </c>
    </row>
    <row r="1742" spans="2:19" ht="12.75">
      <c r="B1742" s="25">
        <f t="shared" si="155"/>
        <v>85</v>
      </c>
      <c r="C1742" s="4"/>
      <c r="D1742" s="4"/>
      <c r="E1742" s="4"/>
      <c r="F1742" s="32" t="s">
        <v>76</v>
      </c>
      <c r="G1742" s="41">
        <v>637</v>
      </c>
      <c r="H1742" s="4" t="s">
        <v>126</v>
      </c>
      <c r="I1742" s="71">
        <v>2140</v>
      </c>
      <c r="J1742" s="71">
        <v>330</v>
      </c>
      <c r="K1742" s="190">
        <f t="shared" si="151"/>
        <v>15.42056074766355</v>
      </c>
      <c r="L1742" s="178"/>
      <c r="M1742" s="71"/>
      <c r="N1742" s="71"/>
      <c r="O1742" s="189"/>
      <c r="P1742" s="178"/>
      <c r="Q1742" s="71">
        <f t="shared" si="152"/>
        <v>2140</v>
      </c>
      <c r="R1742" s="71">
        <f t="shared" si="153"/>
        <v>330</v>
      </c>
      <c r="S1742" s="188">
        <f t="shared" si="154"/>
        <v>15.42056074766355</v>
      </c>
    </row>
    <row r="1743" spans="2:19" ht="15">
      <c r="B1743" s="25">
        <f t="shared" si="155"/>
        <v>86</v>
      </c>
      <c r="C1743" s="7">
        <v>6</v>
      </c>
      <c r="D1743" s="277" t="s">
        <v>238</v>
      </c>
      <c r="E1743" s="278"/>
      <c r="F1743" s="278"/>
      <c r="G1743" s="278"/>
      <c r="H1743" s="279"/>
      <c r="I1743" s="79">
        <f>I1744+I1745+I1747+I1749</f>
        <v>1564281</v>
      </c>
      <c r="J1743" s="79">
        <f>J1744+J1745+J1747+J1749</f>
        <v>696504</v>
      </c>
      <c r="K1743" s="190">
        <f t="shared" si="151"/>
        <v>44.52550404946426</v>
      </c>
      <c r="L1743" s="175"/>
      <c r="M1743" s="79">
        <f>M1749</f>
        <v>228500</v>
      </c>
      <c r="N1743" s="79">
        <f>N1749</f>
        <v>0</v>
      </c>
      <c r="O1743" s="189">
        <f>N1743/M1743*100</f>
        <v>0</v>
      </c>
      <c r="P1743" s="175"/>
      <c r="Q1743" s="79">
        <f t="shared" si="152"/>
        <v>1792781</v>
      </c>
      <c r="R1743" s="79">
        <f t="shared" si="153"/>
        <v>696504</v>
      </c>
      <c r="S1743" s="188">
        <f t="shared" si="154"/>
        <v>38.85047866973155</v>
      </c>
    </row>
    <row r="1744" spans="2:19" ht="12.75">
      <c r="B1744" s="25">
        <f t="shared" si="155"/>
        <v>87</v>
      </c>
      <c r="C1744" s="9"/>
      <c r="D1744" s="9"/>
      <c r="E1744" s="9"/>
      <c r="F1744" s="31" t="s">
        <v>76</v>
      </c>
      <c r="G1744" s="40">
        <v>620</v>
      </c>
      <c r="H1744" s="9" t="s">
        <v>128</v>
      </c>
      <c r="I1744" s="72">
        <v>2000</v>
      </c>
      <c r="J1744" s="72">
        <v>349</v>
      </c>
      <c r="K1744" s="190">
        <f t="shared" si="151"/>
        <v>17.45</v>
      </c>
      <c r="L1744" s="177"/>
      <c r="M1744" s="72"/>
      <c r="N1744" s="72"/>
      <c r="O1744" s="189"/>
      <c r="P1744" s="177"/>
      <c r="Q1744" s="72">
        <f t="shared" si="152"/>
        <v>2000</v>
      </c>
      <c r="R1744" s="72">
        <f t="shared" si="153"/>
        <v>349</v>
      </c>
      <c r="S1744" s="188">
        <f t="shared" si="154"/>
        <v>17.45</v>
      </c>
    </row>
    <row r="1745" spans="2:19" ht="12.75">
      <c r="B1745" s="25">
        <f t="shared" si="155"/>
        <v>88</v>
      </c>
      <c r="C1745" s="9"/>
      <c r="D1745" s="9"/>
      <c r="E1745" s="9"/>
      <c r="F1745" s="31" t="s">
        <v>76</v>
      </c>
      <c r="G1745" s="40">
        <v>630</v>
      </c>
      <c r="H1745" s="9" t="s">
        <v>125</v>
      </c>
      <c r="I1745" s="72">
        <f>I1746</f>
        <v>5000</v>
      </c>
      <c r="J1745" s="72">
        <f>J1746</f>
        <v>999</v>
      </c>
      <c r="K1745" s="190">
        <f t="shared" si="151"/>
        <v>19.98</v>
      </c>
      <c r="L1745" s="177"/>
      <c r="M1745" s="72"/>
      <c r="N1745" s="72"/>
      <c r="O1745" s="189"/>
      <c r="P1745" s="177"/>
      <c r="Q1745" s="72">
        <f t="shared" si="152"/>
        <v>5000</v>
      </c>
      <c r="R1745" s="72">
        <f t="shared" si="153"/>
        <v>999</v>
      </c>
      <c r="S1745" s="188">
        <f t="shared" si="154"/>
        <v>19.98</v>
      </c>
    </row>
    <row r="1746" spans="2:19" ht="12.75">
      <c r="B1746" s="25">
        <f t="shared" si="155"/>
        <v>89</v>
      </c>
      <c r="C1746" s="4"/>
      <c r="D1746" s="4"/>
      <c r="E1746" s="4"/>
      <c r="F1746" s="32" t="s">
        <v>76</v>
      </c>
      <c r="G1746" s="41">
        <v>637</v>
      </c>
      <c r="H1746" s="4" t="s">
        <v>126</v>
      </c>
      <c r="I1746" s="71">
        <v>5000</v>
      </c>
      <c r="J1746" s="71">
        <v>999</v>
      </c>
      <c r="K1746" s="190">
        <f t="shared" si="151"/>
        <v>19.98</v>
      </c>
      <c r="L1746" s="178"/>
      <c r="M1746" s="71"/>
      <c r="N1746" s="71"/>
      <c r="O1746" s="189"/>
      <c r="P1746" s="178"/>
      <c r="Q1746" s="71">
        <f t="shared" si="152"/>
        <v>5000</v>
      </c>
      <c r="R1746" s="71">
        <f t="shared" si="153"/>
        <v>999</v>
      </c>
      <c r="S1746" s="188">
        <f t="shared" si="154"/>
        <v>19.98</v>
      </c>
    </row>
    <row r="1747" spans="2:19" ht="12.75">
      <c r="B1747" s="25">
        <f t="shared" si="155"/>
        <v>90</v>
      </c>
      <c r="C1747" s="9"/>
      <c r="D1747" s="9"/>
      <c r="E1747" s="9"/>
      <c r="F1747" s="31" t="s">
        <v>76</v>
      </c>
      <c r="G1747" s="40">
        <v>640</v>
      </c>
      <c r="H1747" s="9" t="s">
        <v>132</v>
      </c>
      <c r="I1747" s="72">
        <f>I1748</f>
        <v>35000</v>
      </c>
      <c r="J1747" s="72">
        <f>J1748</f>
        <v>10150</v>
      </c>
      <c r="K1747" s="190">
        <f t="shared" si="151"/>
        <v>28.999999999999996</v>
      </c>
      <c r="L1747" s="177"/>
      <c r="M1747" s="72"/>
      <c r="N1747" s="72"/>
      <c r="O1747" s="189"/>
      <c r="P1747" s="177"/>
      <c r="Q1747" s="72">
        <f t="shared" si="152"/>
        <v>35000</v>
      </c>
      <c r="R1747" s="72">
        <f t="shared" si="153"/>
        <v>10150</v>
      </c>
      <c r="S1747" s="188">
        <f t="shared" si="154"/>
        <v>28.999999999999996</v>
      </c>
    </row>
    <row r="1748" spans="2:19" ht="12.75">
      <c r="B1748" s="25">
        <f t="shared" si="155"/>
        <v>91</v>
      </c>
      <c r="C1748" s="4"/>
      <c r="D1748" s="4"/>
      <c r="E1748" s="4"/>
      <c r="F1748" s="32" t="s">
        <v>76</v>
      </c>
      <c r="G1748" s="41">
        <v>642</v>
      </c>
      <c r="H1748" s="4" t="s">
        <v>133</v>
      </c>
      <c r="I1748" s="71">
        <v>35000</v>
      </c>
      <c r="J1748" s="71">
        <v>10150</v>
      </c>
      <c r="K1748" s="190">
        <f t="shared" si="151"/>
        <v>28.999999999999996</v>
      </c>
      <c r="L1748" s="178"/>
      <c r="M1748" s="71"/>
      <c r="N1748" s="71"/>
      <c r="O1748" s="189"/>
      <c r="P1748" s="178"/>
      <c r="Q1748" s="71">
        <f t="shared" si="152"/>
        <v>35000</v>
      </c>
      <c r="R1748" s="71">
        <f t="shared" si="153"/>
        <v>10150</v>
      </c>
      <c r="S1748" s="188">
        <f t="shared" si="154"/>
        <v>28.999999999999996</v>
      </c>
    </row>
    <row r="1749" spans="2:19" ht="15">
      <c r="B1749" s="25">
        <f t="shared" si="155"/>
        <v>92</v>
      </c>
      <c r="C1749" s="12"/>
      <c r="D1749" s="12"/>
      <c r="E1749" s="12">
        <v>5</v>
      </c>
      <c r="F1749" s="35"/>
      <c r="G1749" s="43"/>
      <c r="H1749" s="12" t="s">
        <v>107</v>
      </c>
      <c r="I1749" s="82">
        <f>I1750+I1751+I1752+I1760</f>
        <v>1522281</v>
      </c>
      <c r="J1749" s="82">
        <f>J1750+J1751+J1752+J1760</f>
        <v>685006</v>
      </c>
      <c r="K1749" s="190">
        <f t="shared" si="151"/>
        <v>44.99865662121514</v>
      </c>
      <c r="L1749" s="182"/>
      <c r="M1749" s="82">
        <f>M1761</f>
        <v>228500</v>
      </c>
      <c r="N1749" s="82">
        <f>N1761</f>
        <v>0</v>
      </c>
      <c r="O1749" s="189">
        <f>N1749/M1749*100</f>
        <v>0</v>
      </c>
      <c r="P1749" s="182"/>
      <c r="Q1749" s="82">
        <f t="shared" si="152"/>
        <v>1750781</v>
      </c>
      <c r="R1749" s="82">
        <f t="shared" si="153"/>
        <v>685006</v>
      </c>
      <c r="S1749" s="188">
        <f t="shared" si="154"/>
        <v>39.12573874173869</v>
      </c>
    </row>
    <row r="1750" spans="2:19" ht="12.75">
      <c r="B1750" s="25">
        <f t="shared" si="155"/>
        <v>93</v>
      </c>
      <c r="C1750" s="9"/>
      <c r="D1750" s="9"/>
      <c r="E1750" s="9"/>
      <c r="F1750" s="31" t="s">
        <v>75</v>
      </c>
      <c r="G1750" s="40">
        <v>610</v>
      </c>
      <c r="H1750" s="9" t="s">
        <v>134</v>
      </c>
      <c r="I1750" s="72">
        <v>795188</v>
      </c>
      <c r="J1750" s="72">
        <v>354990</v>
      </c>
      <c r="K1750" s="190">
        <f t="shared" si="151"/>
        <v>44.64227327374156</v>
      </c>
      <c r="L1750" s="177"/>
      <c r="M1750" s="72"/>
      <c r="N1750" s="72"/>
      <c r="O1750" s="189"/>
      <c r="P1750" s="177"/>
      <c r="Q1750" s="72">
        <f t="shared" si="152"/>
        <v>795188</v>
      </c>
      <c r="R1750" s="72">
        <f t="shared" si="153"/>
        <v>354990</v>
      </c>
      <c r="S1750" s="188">
        <f t="shared" si="154"/>
        <v>44.64227327374156</v>
      </c>
    </row>
    <row r="1751" spans="2:19" ht="12.75">
      <c r="B1751" s="25">
        <f t="shared" si="155"/>
        <v>94</v>
      </c>
      <c r="C1751" s="9"/>
      <c r="D1751" s="9"/>
      <c r="E1751" s="9"/>
      <c r="F1751" s="31" t="s">
        <v>75</v>
      </c>
      <c r="G1751" s="40">
        <v>620</v>
      </c>
      <c r="H1751" s="9" t="s">
        <v>128</v>
      </c>
      <c r="I1751" s="72">
        <v>287556</v>
      </c>
      <c r="J1751" s="72">
        <v>111554</v>
      </c>
      <c r="K1751" s="190">
        <f t="shared" si="151"/>
        <v>38.793834939976904</v>
      </c>
      <c r="L1751" s="177"/>
      <c r="M1751" s="72"/>
      <c r="N1751" s="72"/>
      <c r="O1751" s="189"/>
      <c r="P1751" s="177"/>
      <c r="Q1751" s="72">
        <f t="shared" si="152"/>
        <v>287556</v>
      </c>
      <c r="R1751" s="72">
        <f t="shared" si="153"/>
        <v>111554</v>
      </c>
      <c r="S1751" s="188">
        <f t="shared" si="154"/>
        <v>38.793834939976904</v>
      </c>
    </row>
    <row r="1752" spans="2:19" ht="12.75">
      <c r="B1752" s="25">
        <f t="shared" si="155"/>
        <v>95</v>
      </c>
      <c r="C1752" s="9"/>
      <c r="D1752" s="9"/>
      <c r="E1752" s="9"/>
      <c r="F1752" s="31" t="s">
        <v>75</v>
      </c>
      <c r="G1752" s="40">
        <v>630</v>
      </c>
      <c r="H1752" s="9" t="s">
        <v>125</v>
      </c>
      <c r="I1752" s="72">
        <f>SUM(I1753:I1759)</f>
        <v>436077</v>
      </c>
      <c r="J1752" s="72">
        <f>SUM(J1753:J1759)</f>
        <v>213979</v>
      </c>
      <c r="K1752" s="190">
        <f t="shared" si="151"/>
        <v>49.06908642281065</v>
      </c>
      <c r="L1752" s="177"/>
      <c r="M1752" s="72"/>
      <c r="N1752" s="72"/>
      <c r="O1752" s="189"/>
      <c r="P1752" s="177"/>
      <c r="Q1752" s="72">
        <f t="shared" si="152"/>
        <v>436077</v>
      </c>
      <c r="R1752" s="72">
        <f t="shared" si="153"/>
        <v>213979</v>
      </c>
      <c r="S1752" s="188">
        <f t="shared" si="154"/>
        <v>49.06908642281065</v>
      </c>
    </row>
    <row r="1753" spans="2:19" ht="12.75">
      <c r="B1753" s="25">
        <f t="shared" si="155"/>
        <v>96</v>
      </c>
      <c r="C1753" s="4"/>
      <c r="D1753" s="4"/>
      <c r="E1753" s="4"/>
      <c r="F1753" s="32" t="s">
        <v>75</v>
      </c>
      <c r="G1753" s="41">
        <v>631</v>
      </c>
      <c r="H1753" s="4" t="s">
        <v>131</v>
      </c>
      <c r="I1753" s="71">
        <v>200</v>
      </c>
      <c r="J1753" s="71">
        <v>58</v>
      </c>
      <c r="K1753" s="190">
        <f t="shared" si="151"/>
        <v>28.999999999999996</v>
      </c>
      <c r="L1753" s="178"/>
      <c r="M1753" s="71"/>
      <c r="N1753" s="71"/>
      <c r="O1753" s="189"/>
      <c r="P1753" s="178"/>
      <c r="Q1753" s="71">
        <f t="shared" si="152"/>
        <v>200</v>
      </c>
      <c r="R1753" s="71">
        <f t="shared" si="153"/>
        <v>58</v>
      </c>
      <c r="S1753" s="188">
        <f t="shared" si="154"/>
        <v>28.999999999999996</v>
      </c>
    </row>
    <row r="1754" spans="2:19" ht="12.75">
      <c r="B1754" s="25">
        <f t="shared" si="155"/>
        <v>97</v>
      </c>
      <c r="C1754" s="4"/>
      <c r="D1754" s="4"/>
      <c r="E1754" s="4"/>
      <c r="F1754" s="32" t="s">
        <v>75</v>
      </c>
      <c r="G1754" s="41">
        <v>632</v>
      </c>
      <c r="H1754" s="4" t="s">
        <v>138</v>
      </c>
      <c r="I1754" s="71">
        <v>93930</v>
      </c>
      <c r="J1754" s="71">
        <v>50663</v>
      </c>
      <c r="K1754" s="190">
        <f t="shared" si="151"/>
        <v>53.93697434259555</v>
      </c>
      <c r="L1754" s="178"/>
      <c r="M1754" s="71"/>
      <c r="N1754" s="71"/>
      <c r="O1754" s="189"/>
      <c r="P1754" s="178"/>
      <c r="Q1754" s="71">
        <f t="shared" si="152"/>
        <v>93930</v>
      </c>
      <c r="R1754" s="71">
        <f t="shared" si="153"/>
        <v>50663</v>
      </c>
      <c r="S1754" s="188">
        <f t="shared" si="154"/>
        <v>53.93697434259555</v>
      </c>
    </row>
    <row r="1755" spans="2:19" ht="12.75">
      <c r="B1755" s="25">
        <f t="shared" si="155"/>
        <v>98</v>
      </c>
      <c r="C1755" s="4"/>
      <c r="D1755" s="4"/>
      <c r="E1755" s="4"/>
      <c r="F1755" s="32" t="s">
        <v>75</v>
      </c>
      <c r="G1755" s="41">
        <v>633</v>
      </c>
      <c r="H1755" s="4" t="s">
        <v>129</v>
      </c>
      <c r="I1755" s="71">
        <f>30245+2750+1500+1490</f>
        <v>35985</v>
      </c>
      <c r="J1755" s="71">
        <v>23707</v>
      </c>
      <c r="K1755" s="190">
        <f t="shared" si="151"/>
        <v>65.88022787272475</v>
      </c>
      <c r="L1755" s="178"/>
      <c r="M1755" s="71"/>
      <c r="N1755" s="71"/>
      <c r="O1755" s="189"/>
      <c r="P1755" s="178"/>
      <c r="Q1755" s="71">
        <f t="shared" si="152"/>
        <v>35985</v>
      </c>
      <c r="R1755" s="71">
        <f t="shared" si="153"/>
        <v>23707</v>
      </c>
      <c r="S1755" s="188">
        <f t="shared" si="154"/>
        <v>65.88022787272475</v>
      </c>
    </row>
    <row r="1756" spans="2:19" ht="12.75">
      <c r="B1756" s="25">
        <f t="shared" si="155"/>
        <v>99</v>
      </c>
      <c r="C1756" s="4"/>
      <c r="D1756" s="4"/>
      <c r="E1756" s="4"/>
      <c r="F1756" s="32" t="s">
        <v>75</v>
      </c>
      <c r="G1756" s="41">
        <v>634</v>
      </c>
      <c r="H1756" s="4" t="s">
        <v>135</v>
      </c>
      <c r="I1756" s="71">
        <v>1900</v>
      </c>
      <c r="J1756" s="71">
        <v>194</v>
      </c>
      <c r="K1756" s="190">
        <f t="shared" si="151"/>
        <v>10.210526315789474</v>
      </c>
      <c r="L1756" s="178"/>
      <c r="M1756" s="71"/>
      <c r="N1756" s="71"/>
      <c r="O1756" s="189"/>
      <c r="P1756" s="178"/>
      <c r="Q1756" s="71">
        <f t="shared" si="152"/>
        <v>1900</v>
      </c>
      <c r="R1756" s="71">
        <f t="shared" si="153"/>
        <v>194</v>
      </c>
      <c r="S1756" s="188">
        <f t="shared" si="154"/>
        <v>10.210526315789474</v>
      </c>
    </row>
    <row r="1757" spans="2:19" ht="12.75">
      <c r="B1757" s="25">
        <f t="shared" si="155"/>
        <v>100</v>
      </c>
      <c r="C1757" s="4"/>
      <c r="D1757" s="4"/>
      <c r="E1757" s="4"/>
      <c r="F1757" s="32" t="s">
        <v>75</v>
      </c>
      <c r="G1757" s="41">
        <v>635</v>
      </c>
      <c r="H1757" s="4" t="s">
        <v>136</v>
      </c>
      <c r="I1757" s="71">
        <v>12750</v>
      </c>
      <c r="J1757" s="71">
        <v>8689</v>
      </c>
      <c r="K1757" s="190">
        <f t="shared" si="151"/>
        <v>68.14901960784314</v>
      </c>
      <c r="L1757" s="178"/>
      <c r="M1757" s="71"/>
      <c r="N1757" s="71"/>
      <c r="O1757" s="189"/>
      <c r="P1757" s="178"/>
      <c r="Q1757" s="71">
        <f t="shared" si="152"/>
        <v>12750</v>
      </c>
      <c r="R1757" s="71">
        <f t="shared" si="153"/>
        <v>8689</v>
      </c>
      <c r="S1757" s="188">
        <f t="shared" si="154"/>
        <v>68.14901960784314</v>
      </c>
    </row>
    <row r="1758" spans="2:19" ht="12.75">
      <c r="B1758" s="25">
        <f t="shared" si="155"/>
        <v>101</v>
      </c>
      <c r="C1758" s="4"/>
      <c r="D1758" s="4"/>
      <c r="E1758" s="4"/>
      <c r="F1758" s="32" t="s">
        <v>75</v>
      </c>
      <c r="G1758" s="41">
        <v>637</v>
      </c>
      <c r="H1758" s="4" t="s">
        <v>126</v>
      </c>
      <c r="I1758" s="71">
        <v>277562</v>
      </c>
      <c r="J1758" s="71">
        <v>130269</v>
      </c>
      <c r="K1758" s="190">
        <f t="shared" si="151"/>
        <v>46.933297785719944</v>
      </c>
      <c r="L1758" s="178"/>
      <c r="M1758" s="71"/>
      <c r="N1758" s="71"/>
      <c r="O1758" s="189"/>
      <c r="P1758" s="178"/>
      <c r="Q1758" s="71">
        <f t="shared" si="152"/>
        <v>277562</v>
      </c>
      <c r="R1758" s="71">
        <f t="shared" si="153"/>
        <v>130269</v>
      </c>
      <c r="S1758" s="188">
        <f t="shared" si="154"/>
        <v>46.933297785719944</v>
      </c>
    </row>
    <row r="1759" spans="2:19" ht="12.75">
      <c r="B1759" s="25">
        <f t="shared" si="155"/>
        <v>102</v>
      </c>
      <c r="C1759" s="4"/>
      <c r="D1759" s="4"/>
      <c r="E1759" s="4"/>
      <c r="F1759" s="32" t="s">
        <v>75</v>
      </c>
      <c r="G1759" s="41">
        <v>637</v>
      </c>
      <c r="H1759" s="4" t="s">
        <v>343</v>
      </c>
      <c r="I1759" s="71">
        <v>13750</v>
      </c>
      <c r="J1759" s="71">
        <v>399</v>
      </c>
      <c r="K1759" s="190">
        <f t="shared" si="151"/>
        <v>2.901818181818182</v>
      </c>
      <c r="L1759" s="178"/>
      <c r="M1759" s="71"/>
      <c r="N1759" s="71"/>
      <c r="O1759" s="189"/>
      <c r="P1759" s="178"/>
      <c r="Q1759" s="71">
        <f t="shared" si="152"/>
        <v>13750</v>
      </c>
      <c r="R1759" s="71">
        <f t="shared" si="153"/>
        <v>399</v>
      </c>
      <c r="S1759" s="188">
        <f t="shared" si="154"/>
        <v>2.901818181818182</v>
      </c>
    </row>
    <row r="1760" spans="2:19" ht="12.75">
      <c r="B1760" s="25">
        <f t="shared" si="155"/>
        <v>103</v>
      </c>
      <c r="C1760" s="9"/>
      <c r="D1760" s="9"/>
      <c r="E1760" s="9"/>
      <c r="F1760" s="31" t="s">
        <v>75</v>
      </c>
      <c r="G1760" s="40">
        <v>640</v>
      </c>
      <c r="H1760" s="9" t="s">
        <v>132</v>
      </c>
      <c r="I1760" s="72">
        <f>3000+460</f>
        <v>3460</v>
      </c>
      <c r="J1760" s="72">
        <v>4483</v>
      </c>
      <c r="K1760" s="190">
        <f t="shared" si="151"/>
        <v>129.5664739884393</v>
      </c>
      <c r="L1760" s="177"/>
      <c r="M1760" s="72"/>
      <c r="N1760" s="72"/>
      <c r="O1760" s="189"/>
      <c r="P1760" s="177"/>
      <c r="Q1760" s="72">
        <f t="shared" si="152"/>
        <v>3460</v>
      </c>
      <c r="R1760" s="72">
        <f t="shared" si="153"/>
        <v>4483</v>
      </c>
      <c r="S1760" s="188">
        <f t="shared" si="154"/>
        <v>129.5664739884393</v>
      </c>
    </row>
    <row r="1761" spans="2:19" ht="12.75">
      <c r="B1761" s="25">
        <f t="shared" si="155"/>
        <v>104</v>
      </c>
      <c r="C1761" s="9"/>
      <c r="D1761" s="9"/>
      <c r="E1761" s="9"/>
      <c r="F1761" s="31" t="s">
        <v>75</v>
      </c>
      <c r="G1761" s="40">
        <v>710</v>
      </c>
      <c r="H1761" s="9" t="s">
        <v>180</v>
      </c>
      <c r="I1761" s="72"/>
      <c r="J1761" s="72"/>
      <c r="K1761" s="190"/>
      <c r="L1761" s="177"/>
      <c r="M1761" s="72">
        <f>M1762</f>
        <v>228500</v>
      </c>
      <c r="N1761" s="72">
        <f>N1762</f>
        <v>0</v>
      </c>
      <c r="O1761" s="189">
        <f>N1761/M1761*100</f>
        <v>0</v>
      </c>
      <c r="P1761" s="177"/>
      <c r="Q1761" s="72">
        <f t="shared" si="152"/>
        <v>228500</v>
      </c>
      <c r="R1761" s="72">
        <f t="shared" si="153"/>
        <v>0</v>
      </c>
      <c r="S1761" s="188">
        <f t="shared" si="154"/>
        <v>0</v>
      </c>
    </row>
    <row r="1762" spans="2:19" ht="12.75">
      <c r="B1762" s="25">
        <f t="shared" si="155"/>
        <v>105</v>
      </c>
      <c r="C1762" s="9"/>
      <c r="D1762" s="9"/>
      <c r="E1762" s="9"/>
      <c r="F1762" s="32" t="s">
        <v>75</v>
      </c>
      <c r="G1762" s="41">
        <v>717</v>
      </c>
      <c r="H1762" s="17" t="s">
        <v>190</v>
      </c>
      <c r="I1762" s="71"/>
      <c r="J1762" s="71"/>
      <c r="K1762" s="190"/>
      <c r="L1762" s="178"/>
      <c r="M1762" s="71">
        <f>M1763</f>
        <v>228500</v>
      </c>
      <c r="N1762" s="71">
        <f>N1763</f>
        <v>0</v>
      </c>
      <c r="O1762" s="189">
        <f>N1762/M1762*100</f>
        <v>0</v>
      </c>
      <c r="P1762" s="178"/>
      <c r="Q1762" s="72">
        <f t="shared" si="152"/>
        <v>228500</v>
      </c>
      <c r="R1762" s="72">
        <f t="shared" si="153"/>
        <v>0</v>
      </c>
      <c r="S1762" s="188">
        <f t="shared" si="154"/>
        <v>0</v>
      </c>
    </row>
    <row r="1763" spans="2:19" ht="12.75">
      <c r="B1763" s="25">
        <f t="shared" si="155"/>
        <v>106</v>
      </c>
      <c r="C1763" s="9"/>
      <c r="D1763" s="9"/>
      <c r="E1763" s="9"/>
      <c r="F1763" s="33"/>
      <c r="G1763" s="42"/>
      <c r="H1763" s="24" t="s">
        <v>384</v>
      </c>
      <c r="I1763" s="75"/>
      <c r="J1763" s="75"/>
      <c r="K1763" s="190"/>
      <c r="L1763" s="99"/>
      <c r="M1763" s="75">
        <f>210000+18500</f>
        <v>228500</v>
      </c>
      <c r="N1763" s="75"/>
      <c r="O1763" s="189">
        <f>N1763/M1763*100</f>
        <v>0</v>
      </c>
      <c r="P1763" s="99"/>
      <c r="Q1763" s="72">
        <f t="shared" si="152"/>
        <v>228500</v>
      </c>
      <c r="R1763" s="72">
        <f t="shared" si="153"/>
        <v>0</v>
      </c>
      <c r="S1763" s="188">
        <f t="shared" si="154"/>
        <v>0</v>
      </c>
    </row>
    <row r="1764" spans="2:19" ht="15">
      <c r="B1764" s="25">
        <f t="shared" si="155"/>
        <v>107</v>
      </c>
      <c r="C1764" s="7">
        <v>7</v>
      </c>
      <c r="D1764" s="277" t="s">
        <v>48</v>
      </c>
      <c r="E1764" s="278"/>
      <c r="F1764" s="278"/>
      <c r="G1764" s="278"/>
      <c r="H1764" s="279"/>
      <c r="I1764" s="79">
        <f>I1765</f>
        <v>970547</v>
      </c>
      <c r="J1764" s="79">
        <f>J1765</f>
        <v>360667</v>
      </c>
      <c r="K1764" s="190">
        <f t="shared" si="151"/>
        <v>37.161209091368065</v>
      </c>
      <c r="L1764" s="175"/>
      <c r="M1764" s="79"/>
      <c r="N1764" s="79"/>
      <c r="O1764" s="189"/>
      <c r="P1764" s="175"/>
      <c r="Q1764" s="79">
        <f t="shared" si="152"/>
        <v>970547</v>
      </c>
      <c r="R1764" s="79">
        <f t="shared" si="153"/>
        <v>360667</v>
      </c>
      <c r="S1764" s="188">
        <f t="shared" si="154"/>
        <v>37.161209091368065</v>
      </c>
    </row>
    <row r="1765" spans="2:19" ht="15">
      <c r="B1765" s="25">
        <f t="shared" si="155"/>
        <v>108</v>
      </c>
      <c r="C1765" s="12"/>
      <c r="D1765" s="12"/>
      <c r="E1765" s="12">
        <v>5</v>
      </c>
      <c r="F1765" s="35"/>
      <c r="G1765" s="43"/>
      <c r="H1765" s="12" t="s">
        <v>107</v>
      </c>
      <c r="I1765" s="82">
        <f>I1766+I1767+I1768+I1774</f>
        <v>970547</v>
      </c>
      <c r="J1765" s="82">
        <f>J1766+J1767+J1768+J1774</f>
        <v>360667</v>
      </c>
      <c r="K1765" s="190">
        <f t="shared" si="151"/>
        <v>37.161209091368065</v>
      </c>
      <c r="L1765" s="182"/>
      <c r="M1765" s="82"/>
      <c r="N1765" s="82"/>
      <c r="O1765" s="189"/>
      <c r="P1765" s="182"/>
      <c r="Q1765" s="82">
        <f t="shared" si="152"/>
        <v>970547</v>
      </c>
      <c r="R1765" s="82">
        <f t="shared" si="153"/>
        <v>360667</v>
      </c>
      <c r="S1765" s="188">
        <f t="shared" si="154"/>
        <v>37.161209091368065</v>
      </c>
    </row>
    <row r="1766" spans="2:19" ht="12.75">
      <c r="B1766" s="25">
        <f t="shared" si="155"/>
        <v>109</v>
      </c>
      <c r="C1766" s="9"/>
      <c r="D1766" s="9"/>
      <c r="E1766" s="9"/>
      <c r="F1766" s="31" t="s">
        <v>75</v>
      </c>
      <c r="G1766" s="40">
        <v>610</v>
      </c>
      <c r="H1766" s="9" t="s">
        <v>134</v>
      </c>
      <c r="I1766" s="72">
        <v>652088</v>
      </c>
      <c r="J1766" s="72">
        <v>252013</v>
      </c>
      <c r="K1766" s="190">
        <f t="shared" si="151"/>
        <v>38.64708444259057</v>
      </c>
      <c r="L1766" s="177"/>
      <c r="M1766" s="72"/>
      <c r="N1766" s="72"/>
      <c r="O1766" s="189"/>
      <c r="P1766" s="177"/>
      <c r="Q1766" s="72">
        <f t="shared" si="152"/>
        <v>652088</v>
      </c>
      <c r="R1766" s="72">
        <f t="shared" si="153"/>
        <v>252013</v>
      </c>
      <c r="S1766" s="188">
        <f t="shared" si="154"/>
        <v>38.64708444259057</v>
      </c>
    </row>
    <row r="1767" spans="2:19" ht="12.75">
      <c r="B1767" s="25">
        <f t="shared" si="155"/>
        <v>110</v>
      </c>
      <c r="C1767" s="9"/>
      <c r="D1767" s="9"/>
      <c r="E1767" s="9"/>
      <c r="F1767" s="31" t="s">
        <v>75</v>
      </c>
      <c r="G1767" s="40">
        <v>620</v>
      </c>
      <c r="H1767" s="9" t="s">
        <v>128</v>
      </c>
      <c r="I1767" s="72">
        <v>236455</v>
      </c>
      <c r="J1767" s="72">
        <v>79310</v>
      </c>
      <c r="K1767" s="190">
        <f t="shared" si="151"/>
        <v>33.54126577995813</v>
      </c>
      <c r="L1767" s="177"/>
      <c r="M1767" s="72"/>
      <c r="N1767" s="72"/>
      <c r="O1767" s="189"/>
      <c r="P1767" s="177"/>
      <c r="Q1767" s="72">
        <f t="shared" si="152"/>
        <v>236455</v>
      </c>
      <c r="R1767" s="72">
        <f t="shared" si="153"/>
        <v>79310</v>
      </c>
      <c r="S1767" s="188">
        <f t="shared" si="154"/>
        <v>33.54126577995813</v>
      </c>
    </row>
    <row r="1768" spans="2:19" ht="12.75">
      <c r="B1768" s="25">
        <f t="shared" si="155"/>
        <v>111</v>
      </c>
      <c r="C1768" s="9"/>
      <c r="D1768" s="9"/>
      <c r="E1768" s="9"/>
      <c r="F1768" s="31" t="s">
        <v>75</v>
      </c>
      <c r="G1768" s="40">
        <v>630</v>
      </c>
      <c r="H1768" s="9" t="s">
        <v>125</v>
      </c>
      <c r="I1768" s="72">
        <f>SUM(I1769:I1773)</f>
        <v>76784</v>
      </c>
      <c r="J1768" s="72">
        <f>SUM(J1769:J1773)</f>
        <v>23524</v>
      </c>
      <c r="K1768" s="190">
        <f t="shared" si="151"/>
        <v>30.63659095644926</v>
      </c>
      <c r="L1768" s="177"/>
      <c r="M1768" s="72"/>
      <c r="N1768" s="72"/>
      <c r="O1768" s="189"/>
      <c r="P1768" s="177"/>
      <c r="Q1768" s="72">
        <f t="shared" si="152"/>
        <v>76784</v>
      </c>
      <c r="R1768" s="72">
        <f t="shared" si="153"/>
        <v>23524</v>
      </c>
      <c r="S1768" s="188">
        <f t="shared" si="154"/>
        <v>30.63659095644926</v>
      </c>
    </row>
    <row r="1769" spans="2:19" ht="12.75">
      <c r="B1769" s="25">
        <f t="shared" si="155"/>
        <v>112</v>
      </c>
      <c r="C1769" s="4"/>
      <c r="D1769" s="4"/>
      <c r="E1769" s="4"/>
      <c r="F1769" s="32" t="s">
        <v>75</v>
      </c>
      <c r="G1769" s="41">
        <v>632</v>
      </c>
      <c r="H1769" s="4" t="s">
        <v>138</v>
      </c>
      <c r="I1769" s="71">
        <v>720</v>
      </c>
      <c r="J1769" s="71">
        <v>233</v>
      </c>
      <c r="K1769" s="190">
        <f t="shared" si="151"/>
        <v>32.361111111111114</v>
      </c>
      <c r="L1769" s="178"/>
      <c r="M1769" s="71"/>
      <c r="N1769" s="71"/>
      <c r="O1769" s="189"/>
      <c r="P1769" s="178"/>
      <c r="Q1769" s="71">
        <f t="shared" si="152"/>
        <v>720</v>
      </c>
      <c r="R1769" s="71">
        <f t="shared" si="153"/>
        <v>233</v>
      </c>
      <c r="S1769" s="188">
        <f t="shared" si="154"/>
        <v>32.361111111111114</v>
      </c>
    </row>
    <row r="1770" spans="2:19" ht="12.75">
      <c r="B1770" s="25">
        <f t="shared" si="155"/>
        <v>113</v>
      </c>
      <c r="C1770" s="4"/>
      <c r="D1770" s="4"/>
      <c r="E1770" s="4"/>
      <c r="F1770" s="32" t="s">
        <v>75</v>
      </c>
      <c r="G1770" s="41">
        <v>633</v>
      </c>
      <c r="H1770" s="4" t="s">
        <v>129</v>
      </c>
      <c r="I1770" s="71">
        <f>2680+510</f>
        <v>3190</v>
      </c>
      <c r="J1770" s="71">
        <v>1416</v>
      </c>
      <c r="K1770" s="190">
        <f t="shared" si="151"/>
        <v>44.388714733542315</v>
      </c>
      <c r="L1770" s="178"/>
      <c r="M1770" s="71"/>
      <c r="N1770" s="71"/>
      <c r="O1770" s="189"/>
      <c r="P1770" s="178"/>
      <c r="Q1770" s="71">
        <f t="shared" si="152"/>
        <v>3190</v>
      </c>
      <c r="R1770" s="71">
        <f t="shared" si="153"/>
        <v>1416</v>
      </c>
      <c r="S1770" s="188">
        <f t="shared" si="154"/>
        <v>44.388714733542315</v>
      </c>
    </row>
    <row r="1771" spans="2:19" ht="12.75">
      <c r="B1771" s="25">
        <f t="shared" si="155"/>
        <v>114</v>
      </c>
      <c r="C1771" s="4"/>
      <c r="D1771" s="4"/>
      <c r="E1771" s="4"/>
      <c r="F1771" s="32" t="s">
        <v>75</v>
      </c>
      <c r="G1771" s="41">
        <v>634</v>
      </c>
      <c r="H1771" s="4" t="s">
        <v>135</v>
      </c>
      <c r="I1771" s="71">
        <v>4835</v>
      </c>
      <c r="J1771" s="71">
        <v>2266</v>
      </c>
      <c r="K1771" s="190">
        <f t="shared" si="151"/>
        <v>46.86659772492244</v>
      </c>
      <c r="L1771" s="178"/>
      <c r="M1771" s="71"/>
      <c r="N1771" s="71"/>
      <c r="O1771" s="189"/>
      <c r="P1771" s="178"/>
      <c r="Q1771" s="71">
        <f t="shared" si="152"/>
        <v>4835</v>
      </c>
      <c r="R1771" s="71">
        <f t="shared" si="153"/>
        <v>2266</v>
      </c>
      <c r="S1771" s="188">
        <f t="shared" si="154"/>
        <v>46.86659772492244</v>
      </c>
    </row>
    <row r="1772" spans="2:19" ht="12.75">
      <c r="B1772" s="25">
        <f t="shared" si="155"/>
        <v>115</v>
      </c>
      <c r="C1772" s="4"/>
      <c r="D1772" s="4"/>
      <c r="E1772" s="4"/>
      <c r="F1772" s="32" t="s">
        <v>75</v>
      </c>
      <c r="G1772" s="41">
        <v>637</v>
      </c>
      <c r="H1772" s="4" t="s">
        <v>126</v>
      </c>
      <c r="I1772" s="71">
        <v>49614</v>
      </c>
      <c r="J1772" s="71">
        <v>19609</v>
      </c>
      <c r="K1772" s="190">
        <f t="shared" si="151"/>
        <v>39.5231184746241</v>
      </c>
      <c r="L1772" s="178"/>
      <c r="M1772" s="71"/>
      <c r="N1772" s="71"/>
      <c r="O1772" s="189"/>
      <c r="P1772" s="178"/>
      <c r="Q1772" s="71">
        <f t="shared" si="152"/>
        <v>49614</v>
      </c>
      <c r="R1772" s="71">
        <f t="shared" si="153"/>
        <v>19609</v>
      </c>
      <c r="S1772" s="188">
        <f t="shared" si="154"/>
        <v>39.5231184746241</v>
      </c>
    </row>
    <row r="1773" spans="2:19" ht="12.75">
      <c r="B1773" s="25">
        <f t="shared" si="155"/>
        <v>116</v>
      </c>
      <c r="C1773" s="4"/>
      <c r="D1773" s="4"/>
      <c r="E1773" s="4"/>
      <c r="F1773" s="32" t="s">
        <v>75</v>
      </c>
      <c r="G1773" s="41">
        <v>637</v>
      </c>
      <c r="H1773" s="4" t="s">
        <v>343</v>
      </c>
      <c r="I1773" s="71">
        <v>18425</v>
      </c>
      <c r="J1773" s="71">
        <v>0</v>
      </c>
      <c r="K1773" s="190">
        <f t="shared" si="151"/>
        <v>0</v>
      </c>
      <c r="L1773" s="178"/>
      <c r="M1773" s="71"/>
      <c r="N1773" s="71"/>
      <c r="O1773" s="189"/>
      <c r="P1773" s="178"/>
      <c r="Q1773" s="71">
        <f t="shared" si="152"/>
        <v>18425</v>
      </c>
      <c r="R1773" s="71">
        <f t="shared" si="153"/>
        <v>0</v>
      </c>
      <c r="S1773" s="188">
        <f t="shared" si="154"/>
        <v>0</v>
      </c>
    </row>
    <row r="1774" spans="2:19" ht="12.75">
      <c r="B1774" s="25">
        <f t="shared" si="155"/>
        <v>117</v>
      </c>
      <c r="C1774" s="9"/>
      <c r="D1774" s="9"/>
      <c r="E1774" s="9"/>
      <c r="F1774" s="31" t="s">
        <v>75</v>
      </c>
      <c r="G1774" s="40">
        <v>640</v>
      </c>
      <c r="H1774" s="9" t="s">
        <v>132</v>
      </c>
      <c r="I1774" s="72">
        <f>1520+3700</f>
        <v>5220</v>
      </c>
      <c r="J1774" s="72">
        <v>5820</v>
      </c>
      <c r="K1774" s="190">
        <f t="shared" si="151"/>
        <v>111.49425287356323</v>
      </c>
      <c r="L1774" s="177"/>
      <c r="M1774" s="72"/>
      <c r="N1774" s="72"/>
      <c r="O1774" s="189"/>
      <c r="P1774" s="177"/>
      <c r="Q1774" s="72">
        <f t="shared" si="152"/>
        <v>5220</v>
      </c>
      <c r="R1774" s="72">
        <f t="shared" si="153"/>
        <v>5820</v>
      </c>
      <c r="S1774" s="188">
        <f t="shared" si="154"/>
        <v>111.49425287356323</v>
      </c>
    </row>
    <row r="1775" spans="2:19" ht="15">
      <c r="B1775" s="25">
        <f>B1774+1</f>
        <v>118</v>
      </c>
      <c r="C1775" s="7">
        <v>8</v>
      </c>
      <c r="D1775" s="277" t="s">
        <v>202</v>
      </c>
      <c r="E1775" s="278"/>
      <c r="F1775" s="278"/>
      <c r="G1775" s="278"/>
      <c r="H1775" s="279"/>
      <c r="I1775" s="79">
        <f>I1776</f>
        <v>5000</v>
      </c>
      <c r="J1775" s="79">
        <f>J1776</f>
        <v>1214</v>
      </c>
      <c r="K1775" s="190">
        <f t="shared" si="151"/>
        <v>24.279999999999998</v>
      </c>
      <c r="L1775" s="175"/>
      <c r="M1775" s="79"/>
      <c r="N1775" s="79"/>
      <c r="O1775" s="189"/>
      <c r="P1775" s="175"/>
      <c r="Q1775" s="79">
        <f t="shared" si="152"/>
        <v>5000</v>
      </c>
      <c r="R1775" s="79">
        <f t="shared" si="153"/>
        <v>1214</v>
      </c>
      <c r="S1775" s="188">
        <f t="shared" si="154"/>
        <v>24.279999999999998</v>
      </c>
    </row>
    <row r="1776" spans="2:19" ht="12.75">
      <c r="B1776" s="25">
        <f t="shared" si="155"/>
        <v>119</v>
      </c>
      <c r="C1776" s="9"/>
      <c r="D1776" s="9"/>
      <c r="E1776" s="9"/>
      <c r="F1776" s="31" t="s">
        <v>148</v>
      </c>
      <c r="G1776" s="40">
        <v>630</v>
      </c>
      <c r="H1776" s="9" t="s">
        <v>125</v>
      </c>
      <c r="I1776" s="72">
        <f>I1777</f>
        <v>5000</v>
      </c>
      <c r="J1776" s="72">
        <f>J1777</f>
        <v>1214</v>
      </c>
      <c r="K1776" s="190">
        <f t="shared" si="151"/>
        <v>24.279999999999998</v>
      </c>
      <c r="L1776" s="177"/>
      <c r="M1776" s="72"/>
      <c r="N1776" s="72"/>
      <c r="O1776" s="189"/>
      <c r="P1776" s="177"/>
      <c r="Q1776" s="72">
        <f t="shared" si="152"/>
        <v>5000</v>
      </c>
      <c r="R1776" s="72">
        <f t="shared" si="153"/>
        <v>1214</v>
      </c>
      <c r="S1776" s="188">
        <f t="shared" si="154"/>
        <v>24.279999999999998</v>
      </c>
    </row>
    <row r="1777" spans="2:19" ht="12.75">
      <c r="B1777" s="25">
        <f t="shared" si="155"/>
        <v>120</v>
      </c>
      <c r="C1777" s="4"/>
      <c r="D1777" s="4"/>
      <c r="E1777" s="4"/>
      <c r="F1777" s="32" t="s">
        <v>148</v>
      </c>
      <c r="G1777" s="41">
        <v>637</v>
      </c>
      <c r="H1777" s="4" t="s">
        <v>126</v>
      </c>
      <c r="I1777" s="71">
        <v>5000</v>
      </c>
      <c r="J1777" s="71">
        <v>1214</v>
      </c>
      <c r="K1777" s="190">
        <f t="shared" si="151"/>
        <v>24.279999999999998</v>
      </c>
      <c r="L1777" s="178"/>
      <c r="M1777" s="71"/>
      <c r="N1777" s="71"/>
      <c r="O1777" s="189"/>
      <c r="P1777" s="178"/>
      <c r="Q1777" s="71">
        <f t="shared" si="152"/>
        <v>5000</v>
      </c>
      <c r="R1777" s="71">
        <f t="shared" si="153"/>
        <v>1214</v>
      </c>
      <c r="S1777" s="188">
        <f t="shared" si="154"/>
        <v>24.279999999999998</v>
      </c>
    </row>
    <row r="1778" spans="2:19" ht="15">
      <c r="B1778" s="25">
        <f t="shared" si="155"/>
        <v>121</v>
      </c>
      <c r="C1778" s="7">
        <v>9</v>
      </c>
      <c r="D1778" s="277" t="s">
        <v>178</v>
      </c>
      <c r="E1778" s="278"/>
      <c r="F1778" s="278"/>
      <c r="G1778" s="278"/>
      <c r="H1778" s="279"/>
      <c r="I1778" s="79">
        <f>I1779+I1781</f>
        <v>22097</v>
      </c>
      <c r="J1778" s="79">
        <f>J1779+J1781</f>
        <v>2563</v>
      </c>
      <c r="K1778" s="190">
        <f t="shared" si="151"/>
        <v>11.598859573697787</v>
      </c>
      <c r="L1778" s="175"/>
      <c r="M1778" s="79"/>
      <c r="N1778" s="79"/>
      <c r="O1778" s="189"/>
      <c r="P1778" s="175"/>
      <c r="Q1778" s="79">
        <f t="shared" si="152"/>
        <v>22097</v>
      </c>
      <c r="R1778" s="79">
        <f t="shared" si="153"/>
        <v>2563</v>
      </c>
      <c r="S1778" s="188">
        <f t="shared" si="154"/>
        <v>11.598859573697787</v>
      </c>
    </row>
    <row r="1779" spans="2:19" ht="12.75">
      <c r="B1779" s="25">
        <f t="shared" si="155"/>
        <v>122</v>
      </c>
      <c r="C1779" s="9"/>
      <c r="D1779" s="9"/>
      <c r="E1779" s="9"/>
      <c r="F1779" s="31" t="s">
        <v>74</v>
      </c>
      <c r="G1779" s="40">
        <v>630</v>
      </c>
      <c r="H1779" s="9" t="s">
        <v>125</v>
      </c>
      <c r="I1779" s="72">
        <f>I1780</f>
        <v>16097</v>
      </c>
      <c r="J1779" s="72">
        <f>J1780</f>
        <v>2563</v>
      </c>
      <c r="K1779" s="190">
        <f t="shared" si="151"/>
        <v>15.922221531962478</v>
      </c>
      <c r="L1779" s="177"/>
      <c r="M1779" s="72"/>
      <c r="N1779" s="72"/>
      <c r="O1779" s="189"/>
      <c r="P1779" s="177"/>
      <c r="Q1779" s="72">
        <f t="shared" si="152"/>
        <v>16097</v>
      </c>
      <c r="R1779" s="72">
        <f t="shared" si="153"/>
        <v>2563</v>
      </c>
      <c r="S1779" s="188">
        <f t="shared" si="154"/>
        <v>15.922221531962478</v>
      </c>
    </row>
    <row r="1780" spans="2:19" ht="12.75">
      <c r="B1780" s="25">
        <f t="shared" si="155"/>
        <v>123</v>
      </c>
      <c r="C1780" s="4"/>
      <c r="D1780" s="4"/>
      <c r="E1780" s="4"/>
      <c r="F1780" s="32" t="s">
        <v>74</v>
      </c>
      <c r="G1780" s="41">
        <v>637</v>
      </c>
      <c r="H1780" s="4" t="s">
        <v>126</v>
      </c>
      <c r="I1780" s="71">
        <f>16000+97</f>
        <v>16097</v>
      </c>
      <c r="J1780" s="71">
        <v>2563</v>
      </c>
      <c r="K1780" s="190">
        <f t="shared" si="151"/>
        <v>15.922221531962478</v>
      </c>
      <c r="L1780" s="178"/>
      <c r="M1780" s="71"/>
      <c r="N1780" s="71"/>
      <c r="O1780" s="189"/>
      <c r="P1780" s="178"/>
      <c r="Q1780" s="71">
        <f t="shared" si="152"/>
        <v>16097</v>
      </c>
      <c r="R1780" s="71">
        <f t="shared" si="153"/>
        <v>2563</v>
      </c>
      <c r="S1780" s="188">
        <f t="shared" si="154"/>
        <v>15.922221531962478</v>
      </c>
    </row>
    <row r="1781" spans="2:19" ht="12.75">
      <c r="B1781" s="25">
        <f t="shared" si="155"/>
        <v>124</v>
      </c>
      <c r="C1781" s="9"/>
      <c r="D1781" s="9"/>
      <c r="E1781" s="9"/>
      <c r="F1781" s="31" t="s">
        <v>74</v>
      </c>
      <c r="G1781" s="40">
        <v>640</v>
      </c>
      <c r="H1781" s="9" t="s">
        <v>132</v>
      </c>
      <c r="I1781" s="72">
        <f>I1782</f>
        <v>6000</v>
      </c>
      <c r="J1781" s="72">
        <f>J1782</f>
        <v>0</v>
      </c>
      <c r="K1781" s="190">
        <f t="shared" si="151"/>
        <v>0</v>
      </c>
      <c r="L1781" s="177"/>
      <c r="M1781" s="72"/>
      <c r="N1781" s="72"/>
      <c r="O1781" s="189"/>
      <c r="P1781" s="177"/>
      <c r="Q1781" s="72">
        <f t="shared" si="152"/>
        <v>6000</v>
      </c>
      <c r="R1781" s="72">
        <f t="shared" si="153"/>
        <v>0</v>
      </c>
      <c r="S1781" s="188">
        <f t="shared" si="154"/>
        <v>0</v>
      </c>
    </row>
    <row r="1782" spans="2:19" ht="12.75">
      <c r="B1782" s="25">
        <f t="shared" si="155"/>
        <v>125</v>
      </c>
      <c r="C1782" s="4"/>
      <c r="D1782" s="4"/>
      <c r="E1782" s="4"/>
      <c r="F1782" s="32" t="s">
        <v>74</v>
      </c>
      <c r="G1782" s="41">
        <v>642</v>
      </c>
      <c r="H1782" s="4" t="s">
        <v>133</v>
      </c>
      <c r="I1782" s="71">
        <v>6000</v>
      </c>
      <c r="J1782" s="71">
        <v>0</v>
      </c>
      <c r="K1782" s="190">
        <f t="shared" si="151"/>
        <v>0</v>
      </c>
      <c r="L1782" s="178"/>
      <c r="M1782" s="71"/>
      <c r="N1782" s="71"/>
      <c r="O1782" s="189"/>
      <c r="P1782" s="178"/>
      <c r="Q1782" s="71">
        <f t="shared" si="152"/>
        <v>6000</v>
      </c>
      <c r="R1782" s="71">
        <f t="shared" si="153"/>
        <v>0</v>
      </c>
      <c r="S1782" s="188">
        <f t="shared" si="154"/>
        <v>0</v>
      </c>
    </row>
    <row r="1783" spans="2:19" ht="15">
      <c r="B1783" s="25">
        <f t="shared" si="155"/>
        <v>126</v>
      </c>
      <c r="C1783" s="7">
        <v>10</v>
      </c>
      <c r="D1783" s="277" t="s">
        <v>179</v>
      </c>
      <c r="E1783" s="278"/>
      <c r="F1783" s="278"/>
      <c r="G1783" s="278"/>
      <c r="H1783" s="279"/>
      <c r="I1783" s="79">
        <f>I1786+I1784</f>
        <v>20512</v>
      </c>
      <c r="J1783" s="79">
        <f>J1786+J1784</f>
        <v>8686</v>
      </c>
      <c r="K1783" s="190">
        <f t="shared" si="151"/>
        <v>42.34594383775351</v>
      </c>
      <c r="L1783" s="175"/>
      <c r="M1783" s="79"/>
      <c r="N1783" s="79"/>
      <c r="O1783" s="189"/>
      <c r="P1783" s="175"/>
      <c r="Q1783" s="79">
        <f t="shared" si="152"/>
        <v>20512</v>
      </c>
      <c r="R1783" s="79">
        <f t="shared" si="153"/>
        <v>8686</v>
      </c>
      <c r="S1783" s="188">
        <f t="shared" si="154"/>
        <v>42.34594383775351</v>
      </c>
    </row>
    <row r="1784" spans="2:19" ht="12.75">
      <c r="B1784" s="25">
        <f t="shared" si="155"/>
        <v>127</v>
      </c>
      <c r="C1784" s="9"/>
      <c r="D1784" s="9"/>
      <c r="E1784" s="9"/>
      <c r="F1784" s="31" t="s">
        <v>75</v>
      </c>
      <c r="G1784" s="40">
        <v>630</v>
      </c>
      <c r="H1784" s="9" t="s">
        <v>125</v>
      </c>
      <c r="I1784" s="72">
        <f>I1785</f>
        <v>2400</v>
      </c>
      <c r="J1784" s="72">
        <f>J1785</f>
        <v>2400</v>
      </c>
      <c r="K1784" s="190">
        <f t="shared" si="151"/>
        <v>100</v>
      </c>
      <c r="L1784" s="177"/>
      <c r="M1784" s="72"/>
      <c r="N1784" s="72"/>
      <c r="O1784" s="189"/>
      <c r="P1784" s="177"/>
      <c r="Q1784" s="72">
        <f t="shared" si="152"/>
        <v>2400</v>
      </c>
      <c r="R1784" s="72">
        <f t="shared" si="153"/>
        <v>2400</v>
      </c>
      <c r="S1784" s="188">
        <f t="shared" si="154"/>
        <v>100</v>
      </c>
    </row>
    <row r="1785" spans="2:19" ht="12.75">
      <c r="B1785" s="25">
        <f t="shared" si="155"/>
        <v>128</v>
      </c>
      <c r="C1785" s="4"/>
      <c r="D1785" s="4"/>
      <c r="E1785" s="4"/>
      <c r="F1785" s="32" t="s">
        <v>75</v>
      </c>
      <c r="G1785" s="41">
        <v>634</v>
      </c>
      <c r="H1785" s="4" t="s">
        <v>539</v>
      </c>
      <c r="I1785" s="71">
        <v>2400</v>
      </c>
      <c r="J1785" s="71">
        <v>2400</v>
      </c>
      <c r="K1785" s="190">
        <f t="shared" si="151"/>
        <v>100</v>
      </c>
      <c r="L1785" s="178"/>
      <c r="M1785" s="71"/>
      <c r="N1785" s="71"/>
      <c r="O1785" s="189"/>
      <c r="P1785" s="178"/>
      <c r="Q1785" s="71">
        <f t="shared" si="152"/>
        <v>2400</v>
      </c>
      <c r="R1785" s="71">
        <f t="shared" si="153"/>
        <v>2400</v>
      </c>
      <c r="S1785" s="188">
        <f t="shared" si="154"/>
        <v>100</v>
      </c>
    </row>
    <row r="1786" spans="2:19" ht="15">
      <c r="B1786" s="25">
        <f t="shared" si="155"/>
        <v>129</v>
      </c>
      <c r="C1786" s="12"/>
      <c r="D1786" s="12"/>
      <c r="E1786" s="12">
        <v>5</v>
      </c>
      <c r="F1786" s="35"/>
      <c r="G1786" s="43"/>
      <c r="H1786" s="12" t="s">
        <v>107</v>
      </c>
      <c r="I1786" s="82">
        <f>I1787+I1788+I1789+I1795</f>
        <v>18112</v>
      </c>
      <c r="J1786" s="82">
        <f>J1787+J1788+J1789+J1795</f>
        <v>6286</v>
      </c>
      <c r="K1786" s="190">
        <f aca="true" t="shared" si="156" ref="K1786:K1807">J1786/I1786*100</f>
        <v>34.706272084805654</v>
      </c>
      <c r="L1786" s="182"/>
      <c r="M1786" s="82"/>
      <c r="N1786" s="82"/>
      <c r="O1786" s="189"/>
      <c r="P1786" s="182"/>
      <c r="Q1786" s="82">
        <f aca="true" t="shared" si="157" ref="Q1786:Q1807">M1786+I1786</f>
        <v>18112</v>
      </c>
      <c r="R1786" s="82">
        <f aca="true" t="shared" si="158" ref="R1786:R1807">N1786+J1786</f>
        <v>6286</v>
      </c>
      <c r="S1786" s="188">
        <f aca="true" t="shared" si="159" ref="S1786:S1807">R1786/Q1786*100</f>
        <v>34.706272084805654</v>
      </c>
    </row>
    <row r="1787" spans="2:19" ht="12.75">
      <c r="B1787" s="25">
        <f t="shared" si="155"/>
        <v>130</v>
      </c>
      <c r="C1787" s="9"/>
      <c r="D1787" s="9"/>
      <c r="E1787" s="9"/>
      <c r="F1787" s="31" t="s">
        <v>75</v>
      </c>
      <c r="G1787" s="40">
        <v>610</v>
      </c>
      <c r="H1787" s="9" t="s">
        <v>134</v>
      </c>
      <c r="I1787" s="72">
        <v>10514</v>
      </c>
      <c r="J1787" s="72">
        <v>3540</v>
      </c>
      <c r="K1787" s="190">
        <f t="shared" si="156"/>
        <v>33.66939319003234</v>
      </c>
      <c r="L1787" s="177"/>
      <c r="M1787" s="72"/>
      <c r="N1787" s="72"/>
      <c r="O1787" s="189"/>
      <c r="P1787" s="177"/>
      <c r="Q1787" s="72">
        <f t="shared" si="157"/>
        <v>10514</v>
      </c>
      <c r="R1787" s="72">
        <f t="shared" si="158"/>
        <v>3540</v>
      </c>
      <c r="S1787" s="188">
        <f t="shared" si="159"/>
        <v>33.66939319003234</v>
      </c>
    </row>
    <row r="1788" spans="2:19" ht="12.75">
      <c r="B1788" s="25">
        <f t="shared" si="155"/>
        <v>131</v>
      </c>
      <c r="C1788" s="9"/>
      <c r="D1788" s="9"/>
      <c r="E1788" s="9"/>
      <c r="F1788" s="31" t="s">
        <v>75</v>
      </c>
      <c r="G1788" s="40">
        <v>620</v>
      </c>
      <c r="H1788" s="9" t="s">
        <v>128</v>
      </c>
      <c r="I1788" s="72">
        <v>3680</v>
      </c>
      <c r="J1788" s="72">
        <v>1237</v>
      </c>
      <c r="K1788" s="190">
        <f t="shared" si="156"/>
        <v>33.61413043478261</v>
      </c>
      <c r="L1788" s="177"/>
      <c r="M1788" s="72"/>
      <c r="N1788" s="72"/>
      <c r="O1788" s="189"/>
      <c r="P1788" s="177"/>
      <c r="Q1788" s="72">
        <f t="shared" si="157"/>
        <v>3680</v>
      </c>
      <c r="R1788" s="72">
        <f t="shared" si="158"/>
        <v>1237</v>
      </c>
      <c r="S1788" s="188">
        <f t="shared" si="159"/>
        <v>33.61413043478261</v>
      </c>
    </row>
    <row r="1789" spans="2:19" ht="12.75">
      <c r="B1789" s="25">
        <f aca="true" t="shared" si="160" ref="B1789:B1795">B1788+1</f>
        <v>132</v>
      </c>
      <c r="C1789" s="9"/>
      <c r="D1789" s="9"/>
      <c r="E1789" s="9"/>
      <c r="F1789" s="31" t="s">
        <v>75</v>
      </c>
      <c r="G1789" s="40">
        <v>630</v>
      </c>
      <c r="H1789" s="9" t="s">
        <v>125</v>
      </c>
      <c r="I1789" s="72">
        <f>SUM(I1790:I1794)</f>
        <v>3648</v>
      </c>
      <c r="J1789" s="72">
        <f>SUM(J1790:J1794)</f>
        <v>1388</v>
      </c>
      <c r="K1789" s="190">
        <f t="shared" si="156"/>
        <v>38.04824561403509</v>
      </c>
      <c r="L1789" s="177"/>
      <c r="M1789" s="72"/>
      <c r="N1789" s="72"/>
      <c r="O1789" s="189"/>
      <c r="P1789" s="177"/>
      <c r="Q1789" s="72">
        <f t="shared" si="157"/>
        <v>3648</v>
      </c>
      <c r="R1789" s="72">
        <f t="shared" si="158"/>
        <v>1388</v>
      </c>
      <c r="S1789" s="188">
        <f t="shared" si="159"/>
        <v>38.04824561403509</v>
      </c>
    </row>
    <row r="1790" spans="2:19" ht="12.75">
      <c r="B1790" s="25">
        <f t="shared" si="160"/>
        <v>133</v>
      </c>
      <c r="C1790" s="4"/>
      <c r="D1790" s="4"/>
      <c r="E1790" s="4"/>
      <c r="F1790" s="32" t="s">
        <v>75</v>
      </c>
      <c r="G1790" s="41">
        <v>632</v>
      </c>
      <c r="H1790" s="4" t="s">
        <v>138</v>
      </c>
      <c r="I1790" s="71">
        <v>70</v>
      </c>
      <c r="J1790" s="71">
        <v>2</v>
      </c>
      <c r="K1790" s="190">
        <f t="shared" si="156"/>
        <v>2.857142857142857</v>
      </c>
      <c r="L1790" s="178"/>
      <c r="M1790" s="71"/>
      <c r="N1790" s="71"/>
      <c r="O1790" s="189"/>
      <c r="P1790" s="178"/>
      <c r="Q1790" s="71">
        <f t="shared" si="157"/>
        <v>70</v>
      </c>
      <c r="R1790" s="71">
        <f t="shared" si="158"/>
        <v>2</v>
      </c>
      <c r="S1790" s="188">
        <f t="shared" si="159"/>
        <v>2.857142857142857</v>
      </c>
    </row>
    <row r="1791" spans="2:19" ht="12.75">
      <c r="B1791" s="25">
        <f t="shared" si="160"/>
        <v>134</v>
      </c>
      <c r="C1791" s="4"/>
      <c r="D1791" s="4"/>
      <c r="E1791" s="4"/>
      <c r="F1791" s="32" t="s">
        <v>75</v>
      </c>
      <c r="G1791" s="41">
        <v>633</v>
      </c>
      <c r="H1791" s="4" t="s">
        <v>129</v>
      </c>
      <c r="I1791" s="71">
        <v>60</v>
      </c>
      <c r="J1791" s="71">
        <v>2</v>
      </c>
      <c r="K1791" s="190">
        <f t="shared" si="156"/>
        <v>3.3333333333333335</v>
      </c>
      <c r="L1791" s="178"/>
      <c r="M1791" s="71"/>
      <c r="N1791" s="71"/>
      <c r="O1791" s="189"/>
      <c r="P1791" s="178"/>
      <c r="Q1791" s="71">
        <f t="shared" si="157"/>
        <v>60</v>
      </c>
      <c r="R1791" s="71">
        <f t="shared" si="158"/>
        <v>2</v>
      </c>
      <c r="S1791" s="188">
        <f t="shared" si="159"/>
        <v>3.3333333333333335</v>
      </c>
    </row>
    <row r="1792" spans="2:19" ht="12.75">
      <c r="B1792" s="25">
        <f t="shared" si="160"/>
        <v>135</v>
      </c>
      <c r="C1792" s="4"/>
      <c r="D1792" s="4"/>
      <c r="E1792" s="4"/>
      <c r="F1792" s="32" t="s">
        <v>75</v>
      </c>
      <c r="G1792" s="41">
        <v>634</v>
      </c>
      <c r="H1792" s="4" t="s">
        <v>539</v>
      </c>
      <c r="I1792" s="71">
        <v>2400</v>
      </c>
      <c r="J1792" s="71">
        <v>1089</v>
      </c>
      <c r="K1792" s="190">
        <f t="shared" si="156"/>
        <v>45.375</v>
      </c>
      <c r="L1792" s="178"/>
      <c r="M1792" s="71"/>
      <c r="N1792" s="71"/>
      <c r="O1792" s="189"/>
      <c r="P1792" s="178"/>
      <c r="Q1792" s="71">
        <f t="shared" si="157"/>
        <v>2400</v>
      </c>
      <c r="R1792" s="71">
        <f t="shared" si="158"/>
        <v>1089</v>
      </c>
      <c r="S1792" s="188">
        <f t="shared" si="159"/>
        <v>45.375</v>
      </c>
    </row>
    <row r="1793" spans="2:19" ht="12.75">
      <c r="B1793" s="25">
        <f t="shared" si="160"/>
        <v>136</v>
      </c>
      <c r="C1793" s="4"/>
      <c r="D1793" s="4"/>
      <c r="E1793" s="4"/>
      <c r="F1793" s="32" t="s">
        <v>75</v>
      </c>
      <c r="G1793" s="41">
        <v>637</v>
      </c>
      <c r="H1793" s="4" t="s">
        <v>126</v>
      </c>
      <c r="I1793" s="71">
        <v>843</v>
      </c>
      <c r="J1793" s="71">
        <v>295</v>
      </c>
      <c r="K1793" s="190">
        <f t="shared" si="156"/>
        <v>34.99406880189798</v>
      </c>
      <c r="L1793" s="178"/>
      <c r="M1793" s="71"/>
      <c r="N1793" s="71"/>
      <c r="O1793" s="189"/>
      <c r="P1793" s="178"/>
      <c r="Q1793" s="71">
        <f t="shared" si="157"/>
        <v>843</v>
      </c>
      <c r="R1793" s="71">
        <f t="shared" si="158"/>
        <v>295</v>
      </c>
      <c r="S1793" s="188">
        <f t="shared" si="159"/>
        <v>34.99406880189798</v>
      </c>
    </row>
    <row r="1794" spans="2:19" ht="12.75">
      <c r="B1794" s="25">
        <f t="shared" si="160"/>
        <v>137</v>
      </c>
      <c r="C1794" s="4"/>
      <c r="D1794" s="4"/>
      <c r="E1794" s="4"/>
      <c r="F1794" s="32" t="s">
        <v>75</v>
      </c>
      <c r="G1794" s="41">
        <v>637</v>
      </c>
      <c r="H1794" s="4" t="s">
        <v>343</v>
      </c>
      <c r="I1794" s="71">
        <v>275</v>
      </c>
      <c r="J1794" s="71">
        <v>0</v>
      </c>
      <c r="K1794" s="190">
        <f t="shared" si="156"/>
        <v>0</v>
      </c>
      <c r="L1794" s="178"/>
      <c r="M1794" s="71"/>
      <c r="N1794" s="71"/>
      <c r="O1794" s="189"/>
      <c r="P1794" s="178"/>
      <c r="Q1794" s="71">
        <f t="shared" si="157"/>
        <v>275</v>
      </c>
      <c r="R1794" s="71">
        <f t="shared" si="158"/>
        <v>0</v>
      </c>
      <c r="S1794" s="188">
        <f t="shared" si="159"/>
        <v>0</v>
      </c>
    </row>
    <row r="1795" spans="2:19" ht="12.75">
      <c r="B1795" s="25">
        <f t="shared" si="160"/>
        <v>138</v>
      </c>
      <c r="C1795" s="9"/>
      <c r="D1795" s="9"/>
      <c r="E1795" s="9"/>
      <c r="F1795" s="31" t="s">
        <v>75</v>
      </c>
      <c r="G1795" s="40">
        <v>640</v>
      </c>
      <c r="H1795" s="9" t="s">
        <v>132</v>
      </c>
      <c r="I1795" s="72">
        <v>270</v>
      </c>
      <c r="J1795" s="72">
        <v>121</v>
      </c>
      <c r="K1795" s="190">
        <f t="shared" si="156"/>
        <v>44.81481481481481</v>
      </c>
      <c r="L1795" s="177"/>
      <c r="M1795" s="72"/>
      <c r="N1795" s="72"/>
      <c r="O1795" s="189"/>
      <c r="P1795" s="177"/>
      <c r="Q1795" s="72">
        <f t="shared" si="157"/>
        <v>270</v>
      </c>
      <c r="R1795" s="72">
        <f t="shared" si="158"/>
        <v>121</v>
      </c>
      <c r="S1795" s="188">
        <f t="shared" si="159"/>
        <v>44.81481481481481</v>
      </c>
    </row>
    <row r="1796" spans="2:19" ht="15">
      <c r="B1796" s="25">
        <f aca="true" t="shared" si="161" ref="B1796:B1808">B1795+1</f>
        <v>139</v>
      </c>
      <c r="C1796" s="7">
        <v>11</v>
      </c>
      <c r="D1796" s="277" t="s">
        <v>69</v>
      </c>
      <c r="E1796" s="278"/>
      <c r="F1796" s="278"/>
      <c r="G1796" s="278"/>
      <c r="H1796" s="279"/>
      <c r="I1796" s="79">
        <f>I1797</f>
        <v>227665</v>
      </c>
      <c r="J1796" s="79">
        <f>J1797</f>
        <v>95373</v>
      </c>
      <c r="K1796" s="190">
        <f t="shared" si="156"/>
        <v>41.89181472777985</v>
      </c>
      <c r="L1796" s="175"/>
      <c r="M1796" s="79"/>
      <c r="N1796" s="79"/>
      <c r="O1796" s="189"/>
      <c r="P1796" s="175"/>
      <c r="Q1796" s="79">
        <f t="shared" si="157"/>
        <v>227665</v>
      </c>
      <c r="R1796" s="79">
        <f t="shared" si="158"/>
        <v>95373</v>
      </c>
      <c r="S1796" s="188">
        <f t="shared" si="159"/>
        <v>41.89181472777985</v>
      </c>
    </row>
    <row r="1797" spans="2:19" ht="15">
      <c r="B1797" s="25">
        <f t="shared" si="161"/>
        <v>140</v>
      </c>
      <c r="C1797" s="12"/>
      <c r="D1797" s="12"/>
      <c r="E1797" s="12">
        <v>5</v>
      </c>
      <c r="F1797" s="35"/>
      <c r="G1797" s="43"/>
      <c r="H1797" s="12" t="s">
        <v>107</v>
      </c>
      <c r="I1797" s="82">
        <f>I1798+I1799+I1800</f>
        <v>227665</v>
      </c>
      <c r="J1797" s="82">
        <f>J1798+J1799+J1800+J1808</f>
        <v>95373</v>
      </c>
      <c r="K1797" s="190">
        <f t="shared" si="156"/>
        <v>41.89181472777985</v>
      </c>
      <c r="L1797" s="182"/>
      <c r="M1797" s="82"/>
      <c r="N1797" s="82"/>
      <c r="O1797" s="189"/>
      <c r="P1797" s="182"/>
      <c r="Q1797" s="82">
        <f t="shared" si="157"/>
        <v>227665</v>
      </c>
      <c r="R1797" s="82">
        <f t="shared" si="158"/>
        <v>95373</v>
      </c>
      <c r="S1797" s="188">
        <f t="shared" si="159"/>
        <v>41.89181472777985</v>
      </c>
    </row>
    <row r="1798" spans="2:19" ht="12.75">
      <c r="B1798" s="25">
        <f t="shared" si="161"/>
        <v>141</v>
      </c>
      <c r="C1798" s="9"/>
      <c r="D1798" s="9"/>
      <c r="E1798" s="9"/>
      <c r="F1798" s="31" t="s">
        <v>58</v>
      </c>
      <c r="G1798" s="40">
        <v>610</v>
      </c>
      <c r="H1798" s="9" t="s">
        <v>134</v>
      </c>
      <c r="I1798" s="72">
        <v>141004</v>
      </c>
      <c r="J1798" s="72">
        <v>58770</v>
      </c>
      <c r="K1798" s="190">
        <f t="shared" si="156"/>
        <v>41.679668661881934</v>
      </c>
      <c r="L1798" s="177"/>
      <c r="M1798" s="72"/>
      <c r="N1798" s="72"/>
      <c r="O1798" s="189"/>
      <c r="P1798" s="177"/>
      <c r="Q1798" s="72">
        <f t="shared" si="157"/>
        <v>141004</v>
      </c>
      <c r="R1798" s="72">
        <f t="shared" si="158"/>
        <v>58770</v>
      </c>
      <c r="S1798" s="188">
        <f t="shared" si="159"/>
        <v>41.679668661881934</v>
      </c>
    </row>
    <row r="1799" spans="2:19" ht="12.75">
      <c r="B1799" s="25">
        <f t="shared" si="161"/>
        <v>142</v>
      </c>
      <c r="C1799" s="9"/>
      <c r="D1799" s="9"/>
      <c r="E1799" s="9"/>
      <c r="F1799" s="31" t="s">
        <v>58</v>
      </c>
      <c r="G1799" s="40">
        <v>620</v>
      </c>
      <c r="H1799" s="9" t="s">
        <v>128</v>
      </c>
      <c r="I1799" s="72">
        <v>53351</v>
      </c>
      <c r="J1799" s="72">
        <v>19899</v>
      </c>
      <c r="K1799" s="190">
        <f t="shared" si="156"/>
        <v>37.2982699480797</v>
      </c>
      <c r="L1799" s="177"/>
      <c r="M1799" s="72"/>
      <c r="N1799" s="72"/>
      <c r="O1799" s="189"/>
      <c r="P1799" s="177"/>
      <c r="Q1799" s="72">
        <f t="shared" si="157"/>
        <v>53351</v>
      </c>
      <c r="R1799" s="72">
        <f t="shared" si="158"/>
        <v>19899</v>
      </c>
      <c r="S1799" s="188">
        <f t="shared" si="159"/>
        <v>37.2982699480797</v>
      </c>
    </row>
    <row r="1800" spans="2:19" ht="12.75">
      <c r="B1800" s="25">
        <f t="shared" si="161"/>
        <v>143</v>
      </c>
      <c r="C1800" s="9"/>
      <c r="D1800" s="9"/>
      <c r="E1800" s="9"/>
      <c r="F1800" s="31" t="s">
        <v>58</v>
      </c>
      <c r="G1800" s="40">
        <v>630</v>
      </c>
      <c r="H1800" s="9" t="s">
        <v>125</v>
      </c>
      <c r="I1800" s="72">
        <f>SUM(I1801:I1807)</f>
        <v>33310</v>
      </c>
      <c r="J1800" s="72">
        <f>SUM(J1801:J1807)</f>
        <v>16443</v>
      </c>
      <c r="K1800" s="190">
        <f t="shared" si="156"/>
        <v>49.363554488141695</v>
      </c>
      <c r="L1800" s="177"/>
      <c r="M1800" s="72"/>
      <c r="N1800" s="72"/>
      <c r="O1800" s="189"/>
      <c r="P1800" s="177"/>
      <c r="Q1800" s="72">
        <f t="shared" si="157"/>
        <v>33310</v>
      </c>
      <c r="R1800" s="72">
        <f t="shared" si="158"/>
        <v>16443</v>
      </c>
      <c r="S1800" s="188">
        <f t="shared" si="159"/>
        <v>49.363554488141695</v>
      </c>
    </row>
    <row r="1801" spans="2:19" ht="12.75">
      <c r="B1801" s="25">
        <f t="shared" si="161"/>
        <v>144</v>
      </c>
      <c r="C1801" s="4"/>
      <c r="D1801" s="4"/>
      <c r="E1801" s="4"/>
      <c r="F1801" s="32" t="s">
        <v>58</v>
      </c>
      <c r="G1801" s="41">
        <v>631</v>
      </c>
      <c r="H1801" s="4" t="s">
        <v>131</v>
      </c>
      <c r="I1801" s="71">
        <v>400</v>
      </c>
      <c r="J1801" s="71">
        <v>0</v>
      </c>
      <c r="K1801" s="190">
        <f t="shared" si="156"/>
        <v>0</v>
      </c>
      <c r="L1801" s="178"/>
      <c r="M1801" s="71"/>
      <c r="N1801" s="71"/>
      <c r="O1801" s="189"/>
      <c r="P1801" s="178"/>
      <c r="Q1801" s="71">
        <f t="shared" si="157"/>
        <v>400</v>
      </c>
      <c r="R1801" s="71">
        <f t="shared" si="158"/>
        <v>0</v>
      </c>
      <c r="S1801" s="188">
        <f t="shared" si="159"/>
        <v>0</v>
      </c>
    </row>
    <row r="1802" spans="2:19" ht="12.75">
      <c r="B1802" s="25">
        <f t="shared" si="161"/>
        <v>145</v>
      </c>
      <c r="C1802" s="4"/>
      <c r="D1802" s="4"/>
      <c r="E1802" s="4"/>
      <c r="F1802" s="32" t="s">
        <v>58</v>
      </c>
      <c r="G1802" s="41">
        <v>632</v>
      </c>
      <c r="H1802" s="4" t="s">
        <v>138</v>
      </c>
      <c r="I1802" s="71">
        <v>2300</v>
      </c>
      <c r="J1802" s="71">
        <v>1286</v>
      </c>
      <c r="K1802" s="190">
        <f t="shared" si="156"/>
        <v>55.913043478260875</v>
      </c>
      <c r="L1802" s="178"/>
      <c r="M1802" s="71"/>
      <c r="N1802" s="71"/>
      <c r="O1802" s="189"/>
      <c r="P1802" s="178"/>
      <c r="Q1802" s="71">
        <f t="shared" si="157"/>
        <v>2300</v>
      </c>
      <c r="R1802" s="71">
        <f t="shared" si="158"/>
        <v>1286</v>
      </c>
      <c r="S1802" s="188">
        <f t="shared" si="159"/>
        <v>55.913043478260875</v>
      </c>
    </row>
    <row r="1803" spans="2:19" ht="12.75">
      <c r="B1803" s="25">
        <f t="shared" si="161"/>
        <v>146</v>
      </c>
      <c r="C1803" s="4"/>
      <c r="D1803" s="4"/>
      <c r="E1803" s="4"/>
      <c r="F1803" s="32" t="s">
        <v>58</v>
      </c>
      <c r="G1803" s="41">
        <v>633</v>
      </c>
      <c r="H1803" s="4" t="s">
        <v>129</v>
      </c>
      <c r="I1803" s="71">
        <v>4360</v>
      </c>
      <c r="J1803" s="71">
        <v>2320</v>
      </c>
      <c r="K1803" s="190">
        <f t="shared" si="156"/>
        <v>53.21100917431193</v>
      </c>
      <c r="L1803" s="178"/>
      <c r="M1803" s="71"/>
      <c r="N1803" s="71"/>
      <c r="O1803" s="189"/>
      <c r="P1803" s="178"/>
      <c r="Q1803" s="71">
        <f t="shared" si="157"/>
        <v>4360</v>
      </c>
      <c r="R1803" s="71">
        <f t="shared" si="158"/>
        <v>2320</v>
      </c>
      <c r="S1803" s="188">
        <f t="shared" si="159"/>
        <v>53.21100917431193</v>
      </c>
    </row>
    <row r="1804" spans="2:19" ht="12.75">
      <c r="B1804" s="25">
        <f t="shared" si="161"/>
        <v>147</v>
      </c>
      <c r="C1804" s="4"/>
      <c r="D1804" s="4"/>
      <c r="E1804" s="4"/>
      <c r="F1804" s="32" t="s">
        <v>58</v>
      </c>
      <c r="G1804" s="41">
        <v>634</v>
      </c>
      <c r="H1804" s="4" t="s">
        <v>135</v>
      </c>
      <c r="I1804" s="71">
        <v>1488</v>
      </c>
      <c r="J1804" s="71">
        <v>300</v>
      </c>
      <c r="K1804" s="190">
        <f t="shared" si="156"/>
        <v>20.161290322580644</v>
      </c>
      <c r="L1804" s="178"/>
      <c r="M1804" s="71"/>
      <c r="N1804" s="71"/>
      <c r="O1804" s="189"/>
      <c r="P1804" s="178"/>
      <c r="Q1804" s="71">
        <f t="shared" si="157"/>
        <v>1488</v>
      </c>
      <c r="R1804" s="71">
        <f t="shared" si="158"/>
        <v>300</v>
      </c>
      <c r="S1804" s="188">
        <f t="shared" si="159"/>
        <v>20.161290322580644</v>
      </c>
    </row>
    <row r="1805" spans="2:19" ht="12.75">
      <c r="B1805" s="25">
        <f t="shared" si="161"/>
        <v>148</v>
      </c>
      <c r="C1805" s="4"/>
      <c r="D1805" s="4"/>
      <c r="E1805" s="4"/>
      <c r="F1805" s="32" t="s">
        <v>58</v>
      </c>
      <c r="G1805" s="41">
        <v>635</v>
      </c>
      <c r="H1805" s="4" t="s">
        <v>136</v>
      </c>
      <c r="I1805" s="71">
        <v>1600</v>
      </c>
      <c r="J1805" s="71">
        <v>365</v>
      </c>
      <c r="K1805" s="190">
        <f t="shared" si="156"/>
        <v>22.8125</v>
      </c>
      <c r="L1805" s="178"/>
      <c r="M1805" s="71"/>
      <c r="N1805" s="71"/>
      <c r="O1805" s="189"/>
      <c r="P1805" s="178"/>
      <c r="Q1805" s="71">
        <f t="shared" si="157"/>
        <v>1600</v>
      </c>
      <c r="R1805" s="71">
        <f t="shared" si="158"/>
        <v>365</v>
      </c>
      <c r="S1805" s="188">
        <f t="shared" si="159"/>
        <v>22.8125</v>
      </c>
    </row>
    <row r="1806" spans="2:19" ht="12.75">
      <c r="B1806" s="25">
        <f t="shared" si="161"/>
        <v>149</v>
      </c>
      <c r="C1806" s="4"/>
      <c r="D1806" s="4"/>
      <c r="E1806" s="4"/>
      <c r="F1806" s="32" t="s">
        <v>58</v>
      </c>
      <c r="G1806" s="41">
        <v>637</v>
      </c>
      <c r="H1806" s="4" t="s">
        <v>126</v>
      </c>
      <c r="I1806" s="71">
        <v>21237</v>
      </c>
      <c r="J1806" s="71">
        <v>11303</v>
      </c>
      <c r="K1806" s="190">
        <f t="shared" si="156"/>
        <v>53.22314827894712</v>
      </c>
      <c r="L1806" s="178"/>
      <c r="M1806" s="71"/>
      <c r="N1806" s="71"/>
      <c r="O1806" s="189"/>
      <c r="P1806" s="178"/>
      <c r="Q1806" s="71">
        <f t="shared" si="157"/>
        <v>21237</v>
      </c>
      <c r="R1806" s="71">
        <f t="shared" si="158"/>
        <v>11303</v>
      </c>
      <c r="S1806" s="188">
        <f t="shared" si="159"/>
        <v>53.22314827894712</v>
      </c>
    </row>
    <row r="1807" spans="2:19" ht="12.75">
      <c r="B1807" s="25">
        <f t="shared" si="161"/>
        <v>150</v>
      </c>
      <c r="C1807" s="4"/>
      <c r="D1807" s="4"/>
      <c r="E1807" s="4"/>
      <c r="F1807" s="32" t="s">
        <v>58</v>
      </c>
      <c r="G1807" s="41">
        <v>637</v>
      </c>
      <c r="H1807" s="4" t="s">
        <v>343</v>
      </c>
      <c r="I1807" s="71">
        <v>1925</v>
      </c>
      <c r="J1807" s="71">
        <v>869</v>
      </c>
      <c r="K1807" s="190">
        <f t="shared" si="156"/>
        <v>45.14285714285714</v>
      </c>
      <c r="L1807" s="178"/>
      <c r="M1807" s="71"/>
      <c r="N1807" s="71"/>
      <c r="O1807" s="189"/>
      <c r="P1807" s="178"/>
      <c r="Q1807" s="71">
        <f t="shared" si="157"/>
        <v>1925</v>
      </c>
      <c r="R1807" s="71">
        <f t="shared" si="158"/>
        <v>869</v>
      </c>
      <c r="S1807" s="188">
        <f t="shared" si="159"/>
        <v>45.14285714285714</v>
      </c>
    </row>
    <row r="1808" spans="2:19" ht="12.75">
      <c r="B1808" s="25">
        <f t="shared" si="161"/>
        <v>151</v>
      </c>
      <c r="C1808" s="9"/>
      <c r="D1808" s="9"/>
      <c r="E1808" s="9"/>
      <c r="F1808" s="31" t="s">
        <v>58</v>
      </c>
      <c r="G1808" s="40">
        <v>640</v>
      </c>
      <c r="H1808" s="9" t="s">
        <v>132</v>
      </c>
      <c r="I1808" s="72">
        <v>0</v>
      </c>
      <c r="J1808" s="72">
        <v>261</v>
      </c>
      <c r="K1808" s="190"/>
      <c r="L1808" s="177"/>
      <c r="M1808" s="72"/>
      <c r="N1808" s="72"/>
      <c r="O1808" s="189"/>
      <c r="P1808" s="177"/>
      <c r="Q1808" s="72">
        <f>M1808+I1808</f>
        <v>0</v>
      </c>
      <c r="R1808" s="72">
        <f>N1808+J1808</f>
        <v>261</v>
      </c>
      <c r="S1808" s="188"/>
    </row>
    <row r="1815" spans="2:17" ht="27.75" thickBot="1">
      <c r="B1815" s="287" t="s">
        <v>29</v>
      </c>
      <c r="C1815" s="288"/>
      <c r="D1815" s="288"/>
      <c r="E1815" s="288"/>
      <c r="F1815" s="288"/>
      <c r="G1815" s="288"/>
      <c r="H1815" s="288"/>
      <c r="I1815" s="288"/>
      <c r="J1815" s="288"/>
      <c r="K1815" s="288"/>
      <c r="L1815" s="288"/>
      <c r="M1815" s="288"/>
      <c r="N1815" s="288"/>
      <c r="O1815" s="288"/>
      <c r="P1815" s="288"/>
      <c r="Q1815" s="288"/>
    </row>
    <row r="1816" spans="2:19" ht="12.75" customHeight="1" thickBot="1">
      <c r="B1816" s="269" t="s">
        <v>309</v>
      </c>
      <c r="C1816" s="269"/>
      <c r="D1816" s="269"/>
      <c r="E1816" s="269"/>
      <c r="F1816" s="269"/>
      <c r="G1816" s="269"/>
      <c r="H1816" s="269"/>
      <c r="I1816" s="269"/>
      <c r="J1816" s="269"/>
      <c r="K1816" s="269"/>
      <c r="L1816" s="269"/>
      <c r="M1816" s="269"/>
      <c r="N1816" s="269"/>
      <c r="O1816" s="269"/>
      <c r="P1816" s="170"/>
      <c r="Q1816" s="274" t="s">
        <v>515</v>
      </c>
      <c r="R1816" s="265" t="s">
        <v>569</v>
      </c>
      <c r="S1816" s="266" t="s">
        <v>564</v>
      </c>
    </row>
    <row r="1817" spans="2:19" ht="12.75" customHeight="1" thickBot="1">
      <c r="B1817" s="275"/>
      <c r="C1817" s="273" t="s">
        <v>118</v>
      </c>
      <c r="D1817" s="273" t="s">
        <v>119</v>
      </c>
      <c r="E1817" s="276"/>
      <c r="F1817" s="273" t="s">
        <v>120</v>
      </c>
      <c r="G1817" s="270" t="s">
        <v>121</v>
      </c>
      <c r="H1817" s="271" t="s">
        <v>122</v>
      </c>
      <c r="I1817" s="267" t="s">
        <v>565</v>
      </c>
      <c r="J1817" s="267" t="s">
        <v>566</v>
      </c>
      <c r="K1817" s="268" t="s">
        <v>564</v>
      </c>
      <c r="L1817" s="168"/>
      <c r="M1817" s="272" t="s">
        <v>567</v>
      </c>
      <c r="N1817" s="267" t="s">
        <v>568</v>
      </c>
      <c r="O1817" s="268" t="s">
        <v>564</v>
      </c>
      <c r="P1817" s="171"/>
      <c r="Q1817" s="274"/>
      <c r="R1817" s="265"/>
      <c r="S1817" s="266"/>
    </row>
    <row r="1818" spans="2:19" ht="13.5" thickBot="1">
      <c r="B1818" s="275"/>
      <c r="C1818" s="273"/>
      <c r="D1818" s="273"/>
      <c r="E1818" s="276"/>
      <c r="F1818" s="273"/>
      <c r="G1818" s="270"/>
      <c r="H1818" s="271"/>
      <c r="I1818" s="267"/>
      <c r="J1818" s="267"/>
      <c r="K1818" s="268"/>
      <c r="L1818" s="168"/>
      <c r="M1818" s="272"/>
      <c r="N1818" s="267"/>
      <c r="O1818" s="268"/>
      <c r="P1818" s="171"/>
      <c r="Q1818" s="274"/>
      <c r="R1818" s="265"/>
      <c r="S1818" s="266"/>
    </row>
    <row r="1819" spans="2:19" ht="13.5" thickBot="1">
      <c r="B1819" s="275"/>
      <c r="C1819" s="273"/>
      <c r="D1819" s="273"/>
      <c r="E1819" s="276"/>
      <c r="F1819" s="273"/>
      <c r="G1819" s="270"/>
      <c r="H1819" s="271"/>
      <c r="I1819" s="267"/>
      <c r="J1819" s="267"/>
      <c r="K1819" s="268"/>
      <c r="L1819" s="168"/>
      <c r="M1819" s="272"/>
      <c r="N1819" s="267"/>
      <c r="O1819" s="268"/>
      <c r="P1819" s="171"/>
      <c r="Q1819" s="274"/>
      <c r="R1819" s="265"/>
      <c r="S1819" s="266"/>
    </row>
    <row r="1820" spans="2:19" ht="13.5" thickBot="1">
      <c r="B1820" s="275"/>
      <c r="C1820" s="273"/>
      <c r="D1820" s="273"/>
      <c r="E1820" s="276"/>
      <c r="F1820" s="273"/>
      <c r="G1820" s="270"/>
      <c r="H1820" s="271"/>
      <c r="I1820" s="267"/>
      <c r="J1820" s="267"/>
      <c r="K1820" s="268"/>
      <c r="L1820" s="169"/>
      <c r="M1820" s="272"/>
      <c r="N1820" s="267"/>
      <c r="O1820" s="268"/>
      <c r="P1820" s="171"/>
      <c r="Q1820" s="274"/>
      <c r="R1820" s="265"/>
      <c r="S1820" s="266"/>
    </row>
    <row r="1821" spans="2:19" ht="16.5" thickTop="1">
      <c r="B1821" s="28">
        <v>1</v>
      </c>
      <c r="C1821" s="281" t="s">
        <v>29</v>
      </c>
      <c r="D1821" s="285"/>
      <c r="E1821" s="285"/>
      <c r="F1821" s="285"/>
      <c r="G1821" s="285"/>
      <c r="H1821" s="286"/>
      <c r="I1821" s="81">
        <f>I1822</f>
        <v>365250</v>
      </c>
      <c r="J1821" s="81">
        <f>J1822</f>
        <v>136176</v>
      </c>
      <c r="K1821" s="189">
        <f aca="true" t="shared" si="162" ref="K1821:K1838">J1821/I1821*100</f>
        <v>37.2829568788501</v>
      </c>
      <c r="L1821" s="179"/>
      <c r="M1821" s="81">
        <f>M1822</f>
        <v>0</v>
      </c>
      <c r="N1821" s="81">
        <f>N1822</f>
        <v>0</v>
      </c>
      <c r="O1821" s="189"/>
      <c r="P1821" s="179"/>
      <c r="Q1821" s="81">
        <f aca="true" t="shared" si="163" ref="Q1821:Q1838">I1821+M1821</f>
        <v>365250</v>
      </c>
      <c r="R1821" s="81">
        <f aca="true" t="shared" si="164" ref="R1821:R1838">J1821+N1821</f>
        <v>136176</v>
      </c>
      <c r="S1821" s="188">
        <f aca="true" t="shared" si="165" ref="S1821:S1838">R1821/Q1821*100</f>
        <v>37.2829568788501</v>
      </c>
    </row>
    <row r="1822" spans="2:19" ht="15">
      <c r="B1822" s="28">
        <v>2</v>
      </c>
      <c r="C1822" s="7">
        <v>1</v>
      </c>
      <c r="D1822" s="277" t="s">
        <v>159</v>
      </c>
      <c r="E1822" s="278"/>
      <c r="F1822" s="278"/>
      <c r="G1822" s="278"/>
      <c r="H1822" s="279"/>
      <c r="I1822" s="79">
        <f>I1823+I1829+I1830</f>
        <v>365250</v>
      </c>
      <c r="J1822" s="79">
        <f>J1823+J1829+J1830</f>
        <v>136176</v>
      </c>
      <c r="K1822" s="190">
        <f t="shared" si="162"/>
        <v>37.2829568788501</v>
      </c>
      <c r="L1822" s="175"/>
      <c r="M1822" s="79"/>
      <c r="N1822" s="79"/>
      <c r="O1822" s="189"/>
      <c r="P1822" s="175"/>
      <c r="Q1822" s="79">
        <f t="shared" si="163"/>
        <v>365250</v>
      </c>
      <c r="R1822" s="79">
        <f t="shared" si="164"/>
        <v>136176</v>
      </c>
      <c r="S1822" s="188">
        <f t="shared" si="165"/>
        <v>37.2829568788501</v>
      </c>
    </row>
    <row r="1823" spans="2:19" ht="15">
      <c r="B1823" s="28">
        <f>B1822+1</f>
        <v>3</v>
      </c>
      <c r="C1823" s="2"/>
      <c r="D1823" s="2">
        <v>1</v>
      </c>
      <c r="E1823" s="284" t="s">
        <v>158</v>
      </c>
      <c r="F1823" s="278"/>
      <c r="G1823" s="278"/>
      <c r="H1823" s="279"/>
      <c r="I1823" s="80">
        <f>I1824+I1827</f>
        <v>328100</v>
      </c>
      <c r="J1823" s="80">
        <f>J1824+J1827</f>
        <v>122858</v>
      </c>
      <c r="K1823" s="190">
        <f t="shared" si="162"/>
        <v>37.44529106979579</v>
      </c>
      <c r="L1823" s="176"/>
      <c r="M1823" s="80"/>
      <c r="N1823" s="80"/>
      <c r="O1823" s="189"/>
      <c r="P1823" s="176"/>
      <c r="Q1823" s="80">
        <f t="shared" si="163"/>
        <v>328100</v>
      </c>
      <c r="R1823" s="80">
        <f t="shared" si="164"/>
        <v>122858</v>
      </c>
      <c r="S1823" s="188">
        <f t="shared" si="165"/>
        <v>37.44529106979579</v>
      </c>
    </row>
    <row r="1824" spans="2:19" ht="12.75">
      <c r="B1824" s="28">
        <f aca="true" t="shared" si="166" ref="B1824:B1838">B1823+1</f>
        <v>4</v>
      </c>
      <c r="C1824" s="9"/>
      <c r="D1824" s="9"/>
      <c r="E1824" s="9"/>
      <c r="F1824" s="31" t="s">
        <v>157</v>
      </c>
      <c r="G1824" s="40">
        <v>630</v>
      </c>
      <c r="H1824" s="9" t="s">
        <v>125</v>
      </c>
      <c r="I1824" s="72">
        <f>I1825+I1826</f>
        <v>249600</v>
      </c>
      <c r="J1824" s="72">
        <f>J1825+J1826</f>
        <v>87357</v>
      </c>
      <c r="K1824" s="190">
        <f t="shared" si="162"/>
        <v>34.99879807692308</v>
      </c>
      <c r="L1824" s="177"/>
      <c r="M1824" s="72"/>
      <c r="N1824" s="72"/>
      <c r="O1824" s="189"/>
      <c r="P1824" s="177"/>
      <c r="Q1824" s="72">
        <f t="shared" si="163"/>
        <v>249600</v>
      </c>
      <c r="R1824" s="72">
        <f t="shared" si="164"/>
        <v>87357</v>
      </c>
      <c r="S1824" s="188">
        <f t="shared" si="165"/>
        <v>34.99879807692308</v>
      </c>
    </row>
    <row r="1825" spans="2:19" ht="12.75">
      <c r="B1825" s="28">
        <f t="shared" si="166"/>
        <v>5</v>
      </c>
      <c r="C1825" s="4"/>
      <c r="D1825" s="4"/>
      <c r="E1825" s="4"/>
      <c r="F1825" s="32" t="s">
        <v>157</v>
      </c>
      <c r="G1825" s="41">
        <v>636</v>
      </c>
      <c r="H1825" s="4" t="s">
        <v>130</v>
      </c>
      <c r="I1825" s="71">
        <v>34000</v>
      </c>
      <c r="J1825" s="71">
        <v>1483</v>
      </c>
      <c r="K1825" s="190">
        <f t="shared" si="162"/>
        <v>4.361764705882353</v>
      </c>
      <c r="L1825" s="178"/>
      <c r="M1825" s="71"/>
      <c r="N1825" s="71"/>
      <c r="O1825" s="189"/>
      <c r="P1825" s="178"/>
      <c r="Q1825" s="71">
        <f t="shared" si="163"/>
        <v>34000</v>
      </c>
      <c r="R1825" s="71">
        <f t="shared" si="164"/>
        <v>1483</v>
      </c>
      <c r="S1825" s="188">
        <f t="shared" si="165"/>
        <v>4.361764705882353</v>
      </c>
    </row>
    <row r="1826" spans="2:19" ht="12.75">
      <c r="B1826" s="28">
        <f t="shared" si="166"/>
        <v>6</v>
      </c>
      <c r="C1826" s="4"/>
      <c r="D1826" s="4"/>
      <c r="E1826" s="4"/>
      <c r="F1826" s="32" t="s">
        <v>157</v>
      </c>
      <c r="G1826" s="41">
        <v>637</v>
      </c>
      <c r="H1826" s="4" t="s">
        <v>126</v>
      </c>
      <c r="I1826" s="71">
        <v>215600</v>
      </c>
      <c r="J1826" s="71">
        <v>85874</v>
      </c>
      <c r="K1826" s="190">
        <f t="shared" si="162"/>
        <v>39.83024118738405</v>
      </c>
      <c r="L1826" s="178"/>
      <c r="M1826" s="71"/>
      <c r="N1826" s="71"/>
      <c r="O1826" s="189"/>
      <c r="P1826" s="178"/>
      <c r="Q1826" s="71">
        <f t="shared" si="163"/>
        <v>215600</v>
      </c>
      <c r="R1826" s="71">
        <f t="shared" si="164"/>
        <v>85874</v>
      </c>
      <c r="S1826" s="188">
        <f t="shared" si="165"/>
        <v>39.83024118738405</v>
      </c>
    </row>
    <row r="1827" spans="2:19" ht="12.75">
      <c r="B1827" s="28">
        <f t="shared" si="166"/>
        <v>7</v>
      </c>
      <c r="C1827" s="9"/>
      <c r="D1827" s="9"/>
      <c r="E1827" s="9"/>
      <c r="F1827" s="31" t="s">
        <v>157</v>
      </c>
      <c r="G1827" s="40">
        <v>640</v>
      </c>
      <c r="H1827" s="9" t="s">
        <v>132</v>
      </c>
      <c r="I1827" s="72">
        <f>I1828</f>
        <v>78500</v>
      </c>
      <c r="J1827" s="72">
        <f>J1828</f>
        <v>35501</v>
      </c>
      <c r="K1827" s="190">
        <f t="shared" si="162"/>
        <v>45.22420382165605</v>
      </c>
      <c r="L1827" s="177"/>
      <c r="M1827" s="72"/>
      <c r="N1827" s="72"/>
      <c r="O1827" s="189"/>
      <c r="P1827" s="177"/>
      <c r="Q1827" s="72">
        <f t="shared" si="163"/>
        <v>78500</v>
      </c>
      <c r="R1827" s="72">
        <f t="shared" si="164"/>
        <v>35501</v>
      </c>
      <c r="S1827" s="188">
        <f t="shared" si="165"/>
        <v>45.22420382165605</v>
      </c>
    </row>
    <row r="1828" spans="2:19" ht="12.75">
      <c r="B1828" s="28">
        <f t="shared" si="166"/>
        <v>8</v>
      </c>
      <c r="C1828" s="4"/>
      <c r="D1828" s="4"/>
      <c r="E1828" s="4"/>
      <c r="F1828" s="32" t="s">
        <v>157</v>
      </c>
      <c r="G1828" s="41">
        <v>642</v>
      </c>
      <c r="H1828" s="4" t="s">
        <v>133</v>
      </c>
      <c r="I1828" s="71">
        <v>78500</v>
      </c>
      <c r="J1828" s="71">
        <v>35501</v>
      </c>
      <c r="K1828" s="190">
        <f t="shared" si="162"/>
        <v>45.22420382165605</v>
      </c>
      <c r="L1828" s="178"/>
      <c r="M1828" s="71"/>
      <c r="N1828" s="71"/>
      <c r="O1828" s="189"/>
      <c r="P1828" s="178"/>
      <c r="Q1828" s="71">
        <f t="shared" si="163"/>
        <v>78500</v>
      </c>
      <c r="R1828" s="71">
        <f t="shared" si="164"/>
        <v>35501</v>
      </c>
      <c r="S1828" s="188">
        <f t="shared" si="165"/>
        <v>45.22420382165605</v>
      </c>
    </row>
    <row r="1829" spans="2:19" ht="15">
      <c r="B1829" s="28">
        <f t="shared" si="166"/>
        <v>9</v>
      </c>
      <c r="C1829" s="2"/>
      <c r="D1829" s="2">
        <v>2</v>
      </c>
      <c r="E1829" s="284" t="s">
        <v>364</v>
      </c>
      <c r="F1829" s="299"/>
      <c r="G1829" s="299"/>
      <c r="H1829" s="300"/>
      <c r="I1829" s="80">
        <v>0</v>
      </c>
      <c r="J1829" s="80">
        <v>0</v>
      </c>
      <c r="K1829" s="190"/>
      <c r="L1829" s="176"/>
      <c r="M1829" s="80"/>
      <c r="N1829" s="80"/>
      <c r="O1829" s="189"/>
      <c r="P1829" s="176"/>
      <c r="Q1829" s="80">
        <f t="shared" si="163"/>
        <v>0</v>
      </c>
      <c r="R1829" s="80">
        <f t="shared" si="164"/>
        <v>0</v>
      </c>
      <c r="S1829" s="188"/>
    </row>
    <row r="1830" spans="2:19" ht="15">
      <c r="B1830" s="28">
        <f t="shared" si="166"/>
        <v>10</v>
      </c>
      <c r="C1830" s="2"/>
      <c r="D1830" s="2">
        <v>3</v>
      </c>
      <c r="E1830" s="284" t="s">
        <v>194</v>
      </c>
      <c r="F1830" s="301"/>
      <c r="G1830" s="301"/>
      <c r="H1830" s="302"/>
      <c r="I1830" s="80">
        <f>I1831+I1832+I1833</f>
        <v>37150</v>
      </c>
      <c r="J1830" s="80">
        <f>J1831+J1832+J1833</f>
        <v>13318</v>
      </c>
      <c r="K1830" s="190">
        <f t="shared" si="162"/>
        <v>35.84925975773889</v>
      </c>
      <c r="L1830" s="176"/>
      <c r="M1830" s="80"/>
      <c r="N1830" s="80"/>
      <c r="O1830" s="189"/>
      <c r="P1830" s="176"/>
      <c r="Q1830" s="80">
        <f t="shared" si="163"/>
        <v>37150</v>
      </c>
      <c r="R1830" s="80">
        <f t="shared" si="164"/>
        <v>13318</v>
      </c>
      <c r="S1830" s="188">
        <f t="shared" si="165"/>
        <v>35.84925975773889</v>
      </c>
    </row>
    <row r="1831" spans="2:19" ht="12.75">
      <c r="B1831" s="28">
        <f t="shared" si="166"/>
        <v>11</v>
      </c>
      <c r="C1831" s="9"/>
      <c r="D1831" s="9"/>
      <c r="E1831" s="9"/>
      <c r="F1831" s="31" t="s">
        <v>193</v>
      </c>
      <c r="G1831" s="40">
        <v>610</v>
      </c>
      <c r="H1831" s="9" t="s">
        <v>134</v>
      </c>
      <c r="I1831" s="72">
        <v>25000</v>
      </c>
      <c r="J1831" s="72">
        <v>9200</v>
      </c>
      <c r="K1831" s="190">
        <f t="shared" si="162"/>
        <v>36.8</v>
      </c>
      <c r="L1831" s="177"/>
      <c r="M1831" s="72"/>
      <c r="N1831" s="72"/>
      <c r="O1831" s="189"/>
      <c r="P1831" s="177"/>
      <c r="Q1831" s="72">
        <f t="shared" si="163"/>
        <v>25000</v>
      </c>
      <c r="R1831" s="72">
        <f t="shared" si="164"/>
        <v>9200</v>
      </c>
      <c r="S1831" s="188">
        <f t="shared" si="165"/>
        <v>36.8</v>
      </c>
    </row>
    <row r="1832" spans="2:19" ht="12.75">
      <c r="B1832" s="28">
        <f t="shared" si="166"/>
        <v>12</v>
      </c>
      <c r="C1832" s="9"/>
      <c r="D1832" s="9"/>
      <c r="E1832" s="9"/>
      <c r="F1832" s="31" t="s">
        <v>193</v>
      </c>
      <c r="G1832" s="40">
        <v>620</v>
      </c>
      <c r="H1832" s="9" t="s">
        <v>128</v>
      </c>
      <c r="I1832" s="72">
        <v>9250</v>
      </c>
      <c r="J1832" s="72">
        <v>3369</v>
      </c>
      <c r="K1832" s="190">
        <f t="shared" si="162"/>
        <v>36.42162162162162</v>
      </c>
      <c r="L1832" s="177"/>
      <c r="M1832" s="72"/>
      <c r="N1832" s="72"/>
      <c r="O1832" s="189"/>
      <c r="P1832" s="177"/>
      <c r="Q1832" s="72">
        <f t="shared" si="163"/>
        <v>9250</v>
      </c>
      <c r="R1832" s="72">
        <f t="shared" si="164"/>
        <v>3369</v>
      </c>
      <c r="S1832" s="188">
        <f t="shared" si="165"/>
        <v>36.42162162162162</v>
      </c>
    </row>
    <row r="1833" spans="2:19" ht="12.75">
      <c r="B1833" s="28">
        <f t="shared" si="166"/>
        <v>13</v>
      </c>
      <c r="C1833" s="9"/>
      <c r="D1833" s="9"/>
      <c r="E1833" s="9"/>
      <c r="F1833" s="31" t="s">
        <v>193</v>
      </c>
      <c r="G1833" s="40">
        <v>630</v>
      </c>
      <c r="H1833" s="9" t="s">
        <v>125</v>
      </c>
      <c r="I1833" s="72">
        <f>SUM(I1834:I1838)</f>
        <v>2900</v>
      </c>
      <c r="J1833" s="72">
        <f>SUM(J1834:J1838)</f>
        <v>749</v>
      </c>
      <c r="K1833" s="190">
        <f t="shared" si="162"/>
        <v>25.82758620689655</v>
      </c>
      <c r="L1833" s="177"/>
      <c r="M1833" s="72"/>
      <c r="N1833" s="72"/>
      <c r="O1833" s="189"/>
      <c r="P1833" s="177"/>
      <c r="Q1833" s="72">
        <f t="shared" si="163"/>
        <v>2900</v>
      </c>
      <c r="R1833" s="72">
        <f t="shared" si="164"/>
        <v>749</v>
      </c>
      <c r="S1833" s="188">
        <f t="shared" si="165"/>
        <v>25.82758620689655</v>
      </c>
    </row>
    <row r="1834" spans="2:19" ht="12.75">
      <c r="B1834" s="28">
        <f t="shared" si="166"/>
        <v>14</v>
      </c>
      <c r="C1834" s="4"/>
      <c r="D1834" s="4"/>
      <c r="E1834" s="4"/>
      <c r="F1834" s="32" t="s">
        <v>193</v>
      </c>
      <c r="G1834" s="41">
        <v>632</v>
      </c>
      <c r="H1834" s="4" t="s">
        <v>138</v>
      </c>
      <c r="I1834" s="71">
        <v>400</v>
      </c>
      <c r="J1834" s="71">
        <v>158</v>
      </c>
      <c r="K1834" s="190">
        <f t="shared" si="162"/>
        <v>39.5</v>
      </c>
      <c r="L1834" s="178"/>
      <c r="M1834" s="71"/>
      <c r="N1834" s="71"/>
      <c r="O1834" s="189"/>
      <c r="P1834" s="178"/>
      <c r="Q1834" s="71">
        <f t="shared" si="163"/>
        <v>400</v>
      </c>
      <c r="R1834" s="71">
        <f t="shared" si="164"/>
        <v>158</v>
      </c>
      <c r="S1834" s="188">
        <f t="shared" si="165"/>
        <v>39.5</v>
      </c>
    </row>
    <row r="1835" spans="2:19" ht="12.75">
      <c r="B1835" s="28">
        <f t="shared" si="166"/>
        <v>15</v>
      </c>
      <c r="C1835" s="4"/>
      <c r="D1835" s="4"/>
      <c r="E1835" s="4"/>
      <c r="F1835" s="32" t="s">
        <v>193</v>
      </c>
      <c r="G1835" s="41">
        <v>633</v>
      </c>
      <c r="H1835" s="4" t="s">
        <v>129</v>
      </c>
      <c r="I1835" s="71">
        <v>600</v>
      </c>
      <c r="J1835" s="71">
        <v>0</v>
      </c>
      <c r="K1835" s="190">
        <f t="shared" si="162"/>
        <v>0</v>
      </c>
      <c r="L1835" s="178"/>
      <c r="M1835" s="71"/>
      <c r="N1835" s="71"/>
      <c r="O1835" s="189"/>
      <c r="P1835" s="178"/>
      <c r="Q1835" s="71">
        <f t="shared" si="163"/>
        <v>600</v>
      </c>
      <c r="R1835" s="71">
        <f t="shared" si="164"/>
        <v>0</v>
      </c>
      <c r="S1835" s="188">
        <f t="shared" si="165"/>
        <v>0</v>
      </c>
    </row>
    <row r="1836" spans="2:19" ht="12.75">
      <c r="B1836" s="28">
        <f t="shared" si="166"/>
        <v>16</v>
      </c>
      <c r="C1836" s="4"/>
      <c r="D1836" s="4"/>
      <c r="E1836" s="4"/>
      <c r="F1836" s="32" t="s">
        <v>193</v>
      </c>
      <c r="G1836" s="41">
        <v>635</v>
      </c>
      <c r="H1836" s="4" t="s">
        <v>136</v>
      </c>
      <c r="I1836" s="71">
        <v>100</v>
      </c>
      <c r="J1836" s="71">
        <v>0</v>
      </c>
      <c r="K1836" s="190">
        <f t="shared" si="162"/>
        <v>0</v>
      </c>
      <c r="L1836" s="178"/>
      <c r="M1836" s="71"/>
      <c r="N1836" s="71"/>
      <c r="O1836" s="189"/>
      <c r="P1836" s="178"/>
      <c r="Q1836" s="71">
        <f t="shared" si="163"/>
        <v>100</v>
      </c>
      <c r="R1836" s="71">
        <f t="shared" si="164"/>
        <v>0</v>
      </c>
      <c r="S1836" s="188">
        <f t="shared" si="165"/>
        <v>0</v>
      </c>
    </row>
    <row r="1837" spans="2:19" ht="12.75">
      <c r="B1837" s="28">
        <f t="shared" si="166"/>
        <v>17</v>
      </c>
      <c r="C1837" s="4"/>
      <c r="D1837" s="4"/>
      <c r="E1837" s="4"/>
      <c r="F1837" s="32" t="s">
        <v>193</v>
      </c>
      <c r="G1837" s="41">
        <v>637</v>
      </c>
      <c r="H1837" s="4" t="s">
        <v>126</v>
      </c>
      <c r="I1837" s="71">
        <v>1250</v>
      </c>
      <c r="J1837" s="71">
        <v>591</v>
      </c>
      <c r="K1837" s="190">
        <f t="shared" si="162"/>
        <v>47.28</v>
      </c>
      <c r="L1837" s="178"/>
      <c r="M1837" s="71"/>
      <c r="N1837" s="71"/>
      <c r="O1837" s="189"/>
      <c r="P1837" s="178"/>
      <c r="Q1837" s="71">
        <f t="shared" si="163"/>
        <v>1250</v>
      </c>
      <c r="R1837" s="71">
        <f t="shared" si="164"/>
        <v>591</v>
      </c>
      <c r="S1837" s="188">
        <f t="shared" si="165"/>
        <v>47.28</v>
      </c>
    </row>
    <row r="1838" spans="2:19" ht="12.75">
      <c r="B1838" s="28">
        <f t="shared" si="166"/>
        <v>18</v>
      </c>
      <c r="C1838" s="4"/>
      <c r="D1838" s="4"/>
      <c r="E1838" s="4"/>
      <c r="F1838" s="34" t="s">
        <v>193</v>
      </c>
      <c r="G1838" s="41">
        <v>637</v>
      </c>
      <c r="H1838" s="14" t="s">
        <v>295</v>
      </c>
      <c r="I1838" s="71">
        <v>550</v>
      </c>
      <c r="J1838" s="71">
        <v>0</v>
      </c>
      <c r="K1838" s="190">
        <f t="shared" si="162"/>
        <v>0</v>
      </c>
      <c r="L1838" s="178"/>
      <c r="M1838" s="71"/>
      <c r="N1838" s="71"/>
      <c r="O1838" s="189"/>
      <c r="P1838" s="178"/>
      <c r="Q1838" s="71">
        <f t="shared" si="163"/>
        <v>550</v>
      </c>
      <c r="R1838" s="71">
        <f t="shared" si="164"/>
        <v>0</v>
      </c>
      <c r="S1838" s="188">
        <f t="shared" si="165"/>
        <v>0</v>
      </c>
    </row>
  </sheetData>
  <sheetProtection/>
  <mergeCells count="317">
    <mergeCell ref="E1829:H1829"/>
    <mergeCell ref="E1830:H1830"/>
    <mergeCell ref="H1817:H1820"/>
    <mergeCell ref="I1817:I1820"/>
    <mergeCell ref="M1817:M1820"/>
    <mergeCell ref="C1821:H1821"/>
    <mergeCell ref="D1822:H1822"/>
    <mergeCell ref="E1823:H1823"/>
    <mergeCell ref="B1815:Q1815"/>
    <mergeCell ref="Q1816:Q1820"/>
    <mergeCell ref="B1817:B1820"/>
    <mergeCell ref="C1817:C1820"/>
    <mergeCell ref="D1817:D1820"/>
    <mergeCell ref="E1817:E1820"/>
    <mergeCell ref="F1817:F1820"/>
    <mergeCell ref="G1817:G1820"/>
    <mergeCell ref="B1816:O1816"/>
    <mergeCell ref="D1743:H1743"/>
    <mergeCell ref="D1764:H1764"/>
    <mergeCell ref="D1775:H1775"/>
    <mergeCell ref="D1778:H1778"/>
    <mergeCell ref="D1783:H1783"/>
    <mergeCell ref="D1796:H1796"/>
    <mergeCell ref="E1691:H1691"/>
    <mergeCell ref="E1702:H1702"/>
    <mergeCell ref="D1713:H1713"/>
    <mergeCell ref="E1714:H1714"/>
    <mergeCell ref="E1724:H1724"/>
    <mergeCell ref="E1737:H1737"/>
    <mergeCell ref="M1654:M1657"/>
    <mergeCell ref="C1658:H1658"/>
    <mergeCell ref="D1659:H1659"/>
    <mergeCell ref="D1670:H1670"/>
    <mergeCell ref="D1673:H1673"/>
    <mergeCell ref="D1690:H1690"/>
    <mergeCell ref="D1626:H1626"/>
    <mergeCell ref="D1630:H1630"/>
    <mergeCell ref="D1637:H1637"/>
    <mergeCell ref="B1652:Q1652"/>
    <mergeCell ref="Q1653:Q1657"/>
    <mergeCell ref="B1654:B1657"/>
    <mergeCell ref="C1654:C1657"/>
    <mergeCell ref="D1654:D1657"/>
    <mergeCell ref="E1654:E1657"/>
    <mergeCell ref="F1654:F1657"/>
    <mergeCell ref="C1549:H1549"/>
    <mergeCell ref="D1550:H1550"/>
    <mergeCell ref="D1590:H1590"/>
    <mergeCell ref="E1591:H1591"/>
    <mergeCell ref="E1601:H1601"/>
    <mergeCell ref="D1608:H1608"/>
    <mergeCell ref="D1524:H1524"/>
    <mergeCell ref="B1543:Q1543"/>
    <mergeCell ref="Q1544:Q1548"/>
    <mergeCell ref="B1545:B1548"/>
    <mergeCell ref="C1545:C1548"/>
    <mergeCell ref="D1545:D1548"/>
    <mergeCell ref="E1545:E1548"/>
    <mergeCell ref="F1545:F1548"/>
    <mergeCell ref="G1545:G1548"/>
    <mergeCell ref="H1545:H1548"/>
    <mergeCell ref="I1492:I1495"/>
    <mergeCell ref="M1492:M1495"/>
    <mergeCell ref="C1496:H1496"/>
    <mergeCell ref="D1497:H1497"/>
    <mergeCell ref="D1507:H1507"/>
    <mergeCell ref="D1511:H1511"/>
    <mergeCell ref="E1363:H1363"/>
    <mergeCell ref="E1384:H1384"/>
    <mergeCell ref="E1395:H1395"/>
    <mergeCell ref="D1405:H1405"/>
    <mergeCell ref="B1490:Q1490"/>
    <mergeCell ref="Q1491:Q1495"/>
    <mergeCell ref="B1492:B1495"/>
    <mergeCell ref="C1492:C1495"/>
    <mergeCell ref="D1492:D1495"/>
    <mergeCell ref="E1492:E1495"/>
    <mergeCell ref="C1335:H1335"/>
    <mergeCell ref="D1336:H1336"/>
    <mergeCell ref="D1340:H1340"/>
    <mergeCell ref="D1350:H1350"/>
    <mergeCell ref="E1351:H1351"/>
    <mergeCell ref="E1355:H1355"/>
    <mergeCell ref="B1329:Q1329"/>
    <mergeCell ref="Q1330:Q1334"/>
    <mergeCell ref="B1331:B1334"/>
    <mergeCell ref="C1331:C1334"/>
    <mergeCell ref="D1331:D1334"/>
    <mergeCell ref="E1331:E1334"/>
    <mergeCell ref="F1331:F1334"/>
    <mergeCell ref="G1331:G1334"/>
    <mergeCell ref="H1331:H1334"/>
    <mergeCell ref="I1331:I1334"/>
    <mergeCell ref="C547:H547"/>
    <mergeCell ref="D548:H548"/>
    <mergeCell ref="D707:H707"/>
    <mergeCell ref="D929:H929"/>
    <mergeCell ref="D1041:H1041"/>
    <mergeCell ref="D1290:H1290"/>
    <mergeCell ref="B541:Q541"/>
    <mergeCell ref="Q542:Q546"/>
    <mergeCell ref="B543:B546"/>
    <mergeCell ref="C543:C546"/>
    <mergeCell ref="D543:D546"/>
    <mergeCell ref="E543:E546"/>
    <mergeCell ref="F543:F546"/>
    <mergeCell ref="G543:G546"/>
    <mergeCell ref="H543:H546"/>
    <mergeCell ref="I543:I546"/>
    <mergeCell ref="C446:H446"/>
    <mergeCell ref="D447:H447"/>
    <mergeCell ref="D450:H450"/>
    <mergeCell ref="E451:H451"/>
    <mergeCell ref="E470:H470"/>
    <mergeCell ref="D487:H487"/>
    <mergeCell ref="D372:H372"/>
    <mergeCell ref="B440:Q440"/>
    <mergeCell ref="Q441:Q445"/>
    <mergeCell ref="B442:B445"/>
    <mergeCell ref="C442:C445"/>
    <mergeCell ref="D442:D445"/>
    <mergeCell ref="E442:E445"/>
    <mergeCell ref="F442:F445"/>
    <mergeCell ref="G442:G445"/>
    <mergeCell ref="H442:H445"/>
    <mergeCell ref="M331:M334"/>
    <mergeCell ref="C335:H335"/>
    <mergeCell ref="D336:H336"/>
    <mergeCell ref="D349:H349"/>
    <mergeCell ref="D363:H363"/>
    <mergeCell ref="D369:H369"/>
    <mergeCell ref="D331:D334"/>
    <mergeCell ref="E331:E334"/>
    <mergeCell ref="F331:F334"/>
    <mergeCell ref="G331:G334"/>
    <mergeCell ref="H331:H334"/>
    <mergeCell ref="I331:I334"/>
    <mergeCell ref="E23:H23"/>
    <mergeCell ref="D9:H9"/>
    <mergeCell ref="E27:H27"/>
    <mergeCell ref="D36:H36"/>
    <mergeCell ref="D51:H51"/>
    <mergeCell ref="B329:Q329"/>
    <mergeCell ref="D70:H70"/>
    <mergeCell ref="D73:H73"/>
    <mergeCell ref="B2:Q2"/>
    <mergeCell ref="Q3:Q7"/>
    <mergeCell ref="B4:B7"/>
    <mergeCell ref="C4:C7"/>
    <mergeCell ref="D4:D7"/>
    <mergeCell ref="E4:E7"/>
    <mergeCell ref="H4:H7"/>
    <mergeCell ref="G4:G7"/>
    <mergeCell ref="M4:M7"/>
    <mergeCell ref="I4:I7"/>
    <mergeCell ref="C8:H8"/>
    <mergeCell ref="E10:H10"/>
    <mergeCell ref="D62:H62"/>
    <mergeCell ref="E20:H20"/>
    <mergeCell ref="D61:H61"/>
    <mergeCell ref="D59:H59"/>
    <mergeCell ref="D60:H60"/>
    <mergeCell ref="F4:F7"/>
    <mergeCell ref="B76:Q76"/>
    <mergeCell ref="Q77:Q81"/>
    <mergeCell ref="B78:B81"/>
    <mergeCell ref="C78:C81"/>
    <mergeCell ref="D78:D81"/>
    <mergeCell ref="E78:E81"/>
    <mergeCell ref="F78:F81"/>
    <mergeCell ref="G78:G81"/>
    <mergeCell ref="H78:H81"/>
    <mergeCell ref="H111:H114"/>
    <mergeCell ref="I111:I114"/>
    <mergeCell ref="I78:I81"/>
    <mergeCell ref="M78:M81"/>
    <mergeCell ref="C82:H82"/>
    <mergeCell ref="D83:H83"/>
    <mergeCell ref="D92:H92"/>
    <mergeCell ref="B109:Q109"/>
    <mergeCell ref="B110:O110"/>
    <mergeCell ref="B111:B114"/>
    <mergeCell ref="C115:H115"/>
    <mergeCell ref="D116:H116"/>
    <mergeCell ref="D119:H119"/>
    <mergeCell ref="E120:H120"/>
    <mergeCell ref="E123:H123"/>
    <mergeCell ref="Q110:Q114"/>
    <mergeCell ref="C111:C114"/>
    <mergeCell ref="D111:D114"/>
    <mergeCell ref="E111:E114"/>
    <mergeCell ref="F111:F114"/>
    <mergeCell ref="G222:G225"/>
    <mergeCell ref="E132:H132"/>
    <mergeCell ref="D139:H139"/>
    <mergeCell ref="D143:H143"/>
    <mergeCell ref="D156:H156"/>
    <mergeCell ref="D172:H172"/>
    <mergeCell ref="D177:H177"/>
    <mergeCell ref="F222:F225"/>
    <mergeCell ref="D265:H265"/>
    <mergeCell ref="D277:H277"/>
    <mergeCell ref="D288:H288"/>
    <mergeCell ref="H222:H225"/>
    <mergeCell ref="I222:I225"/>
    <mergeCell ref="M222:M225"/>
    <mergeCell ref="C226:H226"/>
    <mergeCell ref="D227:H227"/>
    <mergeCell ref="D232:H232"/>
    <mergeCell ref="C222:C225"/>
    <mergeCell ref="K4:K7"/>
    <mergeCell ref="N4:N7"/>
    <mergeCell ref="O4:O7"/>
    <mergeCell ref="R3:R7"/>
    <mergeCell ref="D244:H244"/>
    <mergeCell ref="D254:H254"/>
    <mergeCell ref="D187:H187"/>
    <mergeCell ref="B220:Q220"/>
    <mergeCell ref="Q221:Q225"/>
    <mergeCell ref="B222:B225"/>
    <mergeCell ref="S3:S7"/>
    <mergeCell ref="B77:O77"/>
    <mergeCell ref="R77:R81"/>
    <mergeCell ref="S77:S81"/>
    <mergeCell ref="J78:J81"/>
    <mergeCell ref="K78:K81"/>
    <mergeCell ref="N78:N81"/>
    <mergeCell ref="O78:O81"/>
    <mergeCell ref="B3:O3"/>
    <mergeCell ref="J4:J7"/>
    <mergeCell ref="R110:R114"/>
    <mergeCell ref="S110:S114"/>
    <mergeCell ref="J111:J114"/>
    <mergeCell ref="K111:K114"/>
    <mergeCell ref="N111:N114"/>
    <mergeCell ref="O111:O114"/>
    <mergeCell ref="M111:M114"/>
    <mergeCell ref="G111:G114"/>
    <mergeCell ref="B221:O221"/>
    <mergeCell ref="R221:R225"/>
    <mergeCell ref="S221:S225"/>
    <mergeCell ref="J222:J225"/>
    <mergeCell ref="K222:K225"/>
    <mergeCell ref="N222:N225"/>
    <mergeCell ref="O222:O225"/>
    <mergeCell ref="D222:D225"/>
    <mergeCell ref="E222:E225"/>
    <mergeCell ref="B330:O330"/>
    <mergeCell ref="R330:R334"/>
    <mergeCell ref="S330:S334"/>
    <mergeCell ref="J331:J334"/>
    <mergeCell ref="K331:K334"/>
    <mergeCell ref="N331:N334"/>
    <mergeCell ref="O331:O334"/>
    <mergeCell ref="Q330:Q334"/>
    <mergeCell ref="B331:B334"/>
    <mergeCell ref="C331:C334"/>
    <mergeCell ref="B441:O441"/>
    <mergeCell ref="R441:R445"/>
    <mergeCell ref="S441:S445"/>
    <mergeCell ref="J442:J445"/>
    <mergeCell ref="K442:K445"/>
    <mergeCell ref="N442:N445"/>
    <mergeCell ref="O442:O445"/>
    <mergeCell ref="I442:I445"/>
    <mergeCell ref="M442:M445"/>
    <mergeCell ref="B542:O542"/>
    <mergeCell ref="R542:R546"/>
    <mergeCell ref="S542:S546"/>
    <mergeCell ref="J543:J546"/>
    <mergeCell ref="K543:K546"/>
    <mergeCell ref="N543:N546"/>
    <mergeCell ref="O543:O546"/>
    <mergeCell ref="M543:M546"/>
    <mergeCell ref="B1330:O1330"/>
    <mergeCell ref="R1330:R1334"/>
    <mergeCell ref="S1330:S1334"/>
    <mergeCell ref="J1331:J1334"/>
    <mergeCell ref="K1331:K1334"/>
    <mergeCell ref="N1331:N1334"/>
    <mergeCell ref="O1331:O1334"/>
    <mergeCell ref="M1331:M1334"/>
    <mergeCell ref="B1491:O1491"/>
    <mergeCell ref="R1491:R1495"/>
    <mergeCell ref="S1491:S1495"/>
    <mergeCell ref="J1492:J1495"/>
    <mergeCell ref="K1492:K1495"/>
    <mergeCell ref="N1492:N1495"/>
    <mergeCell ref="O1492:O1495"/>
    <mergeCell ref="F1492:F1495"/>
    <mergeCell ref="G1492:G1495"/>
    <mergeCell ref="H1492:H1495"/>
    <mergeCell ref="B1544:O1544"/>
    <mergeCell ref="R1544:R1548"/>
    <mergeCell ref="S1544:S1548"/>
    <mergeCell ref="J1545:J1548"/>
    <mergeCell ref="K1545:K1548"/>
    <mergeCell ref="N1545:N1548"/>
    <mergeCell ref="O1545:O1548"/>
    <mergeCell ref="I1545:I1548"/>
    <mergeCell ref="M1545:M1548"/>
    <mergeCell ref="B1653:O1653"/>
    <mergeCell ref="R1653:R1657"/>
    <mergeCell ref="S1653:S1657"/>
    <mergeCell ref="J1654:J1657"/>
    <mergeCell ref="K1654:K1657"/>
    <mergeCell ref="N1654:N1657"/>
    <mergeCell ref="O1654:O1657"/>
    <mergeCell ref="G1654:G1657"/>
    <mergeCell ref="H1654:H1657"/>
    <mergeCell ref="I1654:I1657"/>
    <mergeCell ref="R1816:R1820"/>
    <mergeCell ref="S1816:S1820"/>
    <mergeCell ref="J1817:J1820"/>
    <mergeCell ref="K1817:K1820"/>
    <mergeCell ref="N1817:N1820"/>
    <mergeCell ref="O1817:O1820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.8515625" style="0" customWidth="1"/>
    <col min="3" max="3" width="55.57421875" style="0" customWidth="1"/>
    <col min="4" max="5" width="11.421875" style="16" customWidth="1"/>
    <col min="6" max="6" width="6.7109375" style="16" customWidth="1"/>
    <col min="7" max="8" width="11.421875" style="16" customWidth="1"/>
    <col min="9" max="9" width="6.28125" style="16" customWidth="1"/>
    <col min="10" max="10" width="12.421875" style="16" customWidth="1"/>
    <col min="11" max="11" width="12.421875" style="0" customWidth="1"/>
    <col min="12" max="12" width="5.57421875" style="16" customWidth="1"/>
    <col min="13" max="13" width="12.28125" style="16" customWidth="1"/>
    <col min="14" max="14" width="12.28125" style="255" customWidth="1"/>
    <col min="15" max="15" width="12.28125" style="16" customWidth="1"/>
  </cols>
  <sheetData>
    <row r="1" ht="18.75" customHeight="1" thickBot="1"/>
    <row r="2" spans="2:12" ht="19.5" customHeight="1">
      <c r="B2" s="328"/>
      <c r="C2" s="334"/>
      <c r="D2" s="341" t="s">
        <v>565</v>
      </c>
      <c r="E2" s="308" t="s">
        <v>566</v>
      </c>
      <c r="F2" s="310" t="s">
        <v>562</v>
      </c>
      <c r="G2" s="312" t="s">
        <v>567</v>
      </c>
      <c r="H2" s="308" t="s">
        <v>568</v>
      </c>
      <c r="I2" s="310" t="s">
        <v>562</v>
      </c>
      <c r="J2" s="326" t="s">
        <v>478</v>
      </c>
      <c r="K2" s="303" t="s">
        <v>569</v>
      </c>
      <c r="L2" s="305" t="s">
        <v>562</v>
      </c>
    </row>
    <row r="3" spans="2:15" s="13" customFormat="1" ht="41.25" customHeight="1">
      <c r="B3" s="329"/>
      <c r="C3" s="335"/>
      <c r="D3" s="342"/>
      <c r="E3" s="309"/>
      <c r="F3" s="311"/>
      <c r="G3" s="313"/>
      <c r="H3" s="309"/>
      <c r="I3" s="311"/>
      <c r="J3" s="327"/>
      <c r="K3" s="304"/>
      <c r="L3" s="306"/>
      <c r="M3" s="88"/>
      <c r="N3" s="256"/>
      <c r="O3" s="88"/>
    </row>
    <row r="4" spans="2:11" ht="5.25" customHeight="1">
      <c r="B4" s="126"/>
      <c r="C4" s="126"/>
      <c r="D4" s="343"/>
      <c r="E4" s="129"/>
      <c r="F4" s="116"/>
      <c r="I4" s="116"/>
      <c r="J4" s="129"/>
      <c r="K4" s="243"/>
    </row>
    <row r="5" spans="2:12" ht="15.75">
      <c r="B5" s="117">
        <v>1</v>
      </c>
      <c r="C5" s="336" t="s">
        <v>479</v>
      </c>
      <c r="D5" s="344">
        <f>'Príjmy '!H459</f>
        <v>49369897</v>
      </c>
      <c r="E5" s="130">
        <f>'Príjmy '!I505</f>
        <v>24997486</v>
      </c>
      <c r="F5" s="235">
        <f aca="true" t="shared" si="0" ref="F5:F18">E5/D5*100</f>
        <v>50.63305276897783</v>
      </c>
      <c r="G5" s="130">
        <f>'Príjmy '!H499</f>
        <v>5739045</v>
      </c>
      <c r="H5" s="232">
        <f>'Príjmy '!I506</f>
        <v>950753</v>
      </c>
      <c r="I5" s="235">
        <f>H5/G5*100</f>
        <v>16.56639737099117</v>
      </c>
      <c r="J5" s="238">
        <f>G5+D5</f>
        <v>55108942</v>
      </c>
      <c r="K5" s="118">
        <f aca="true" t="shared" si="1" ref="K5:K18">H5+E5</f>
        <v>25948239</v>
      </c>
      <c r="L5" s="233">
        <f aca="true" t="shared" si="2" ref="L5:L18">K5/J5*100</f>
        <v>47.08535141175456</v>
      </c>
    </row>
    <row r="6" spans="2:12" ht="15.75">
      <c r="B6" s="117">
        <v>2</v>
      </c>
      <c r="C6" s="336" t="s">
        <v>480</v>
      </c>
      <c r="D6" s="344">
        <f>SUM(D7:D18)</f>
        <v>49271493</v>
      </c>
      <c r="E6" s="130">
        <f>SUM(E7:E18)</f>
        <v>18368521</v>
      </c>
      <c r="F6" s="236">
        <f t="shared" si="0"/>
        <v>37.28022002499498</v>
      </c>
      <c r="G6" s="130">
        <f>SUM(G7:G18)</f>
        <v>12063345</v>
      </c>
      <c r="H6" s="118">
        <f>SUM(H7:H18)</f>
        <v>1316305</v>
      </c>
      <c r="I6" s="236">
        <f aca="true" t="shared" si="3" ref="I6:I17">H6/G6*100</f>
        <v>10.911608679018963</v>
      </c>
      <c r="J6" s="239">
        <f aca="true" t="shared" si="4" ref="J6:J18">G6+D6</f>
        <v>61334838</v>
      </c>
      <c r="K6" s="234">
        <f t="shared" si="1"/>
        <v>19684826</v>
      </c>
      <c r="L6" s="196">
        <f t="shared" si="2"/>
        <v>32.09403764953288</v>
      </c>
    </row>
    <row r="7" spans="2:12" ht="14.25">
      <c r="B7" s="119">
        <v>3</v>
      </c>
      <c r="C7" s="337" t="s">
        <v>481</v>
      </c>
      <c r="D7" s="345">
        <f>Výdavky!I8</f>
        <v>667099</v>
      </c>
      <c r="E7" s="131">
        <f>Výdavky!J8</f>
        <v>184386</v>
      </c>
      <c r="F7" s="236">
        <f t="shared" si="0"/>
        <v>27.639975475903878</v>
      </c>
      <c r="G7" s="131">
        <f>Výdavky!M8</f>
        <v>607330</v>
      </c>
      <c r="H7" s="191">
        <f>Výdavky!N8</f>
        <v>32958</v>
      </c>
      <c r="I7" s="236">
        <f t="shared" si="3"/>
        <v>5.426703768955922</v>
      </c>
      <c r="J7" s="240">
        <f t="shared" si="4"/>
        <v>1274429</v>
      </c>
      <c r="K7" s="120">
        <f t="shared" si="1"/>
        <v>217344</v>
      </c>
      <c r="L7" s="196">
        <f t="shared" si="2"/>
        <v>17.054225853303713</v>
      </c>
    </row>
    <row r="8" spans="2:12" ht="14.25">
      <c r="B8" s="119">
        <v>4</v>
      </c>
      <c r="C8" s="337" t="s">
        <v>482</v>
      </c>
      <c r="D8" s="345">
        <f>Výdavky!I82</f>
        <v>134500</v>
      </c>
      <c r="E8" s="131">
        <f>Výdavky!J82</f>
        <v>52994</v>
      </c>
      <c r="F8" s="236">
        <f t="shared" si="0"/>
        <v>39.40074349442379</v>
      </c>
      <c r="G8" s="131">
        <f>Výdavky!M82</f>
        <v>0</v>
      </c>
      <c r="H8" s="191">
        <f>Výdavky!N82</f>
        <v>0</v>
      </c>
      <c r="I8" s="236">
        <v>0</v>
      </c>
      <c r="J8" s="240">
        <f t="shared" si="4"/>
        <v>134500</v>
      </c>
      <c r="K8" s="120">
        <f t="shared" si="1"/>
        <v>52994</v>
      </c>
      <c r="L8" s="196">
        <f t="shared" si="2"/>
        <v>39.40074349442379</v>
      </c>
    </row>
    <row r="9" spans="2:12" ht="14.25">
      <c r="B9" s="119">
        <v>5</v>
      </c>
      <c r="C9" s="337" t="s">
        <v>483</v>
      </c>
      <c r="D9" s="345">
        <f>Výdavky!I115</f>
        <v>5430652</v>
      </c>
      <c r="E9" s="131">
        <f>Výdavky!J115</f>
        <v>2060096</v>
      </c>
      <c r="F9" s="236">
        <f t="shared" si="0"/>
        <v>37.93459790831745</v>
      </c>
      <c r="G9" s="131">
        <f>Výdavky!M115</f>
        <v>975931</v>
      </c>
      <c r="H9" s="191">
        <f>Výdavky!N115</f>
        <v>580217</v>
      </c>
      <c r="I9" s="236">
        <f t="shared" si="3"/>
        <v>59.45266622332931</v>
      </c>
      <c r="J9" s="240">
        <f t="shared" si="4"/>
        <v>6406583</v>
      </c>
      <c r="K9" s="120">
        <f t="shared" si="1"/>
        <v>2640313</v>
      </c>
      <c r="L9" s="196">
        <f t="shared" si="2"/>
        <v>41.21249970538117</v>
      </c>
    </row>
    <row r="10" spans="2:12" ht="14.25">
      <c r="B10" s="119">
        <v>6</v>
      </c>
      <c r="C10" s="337" t="s">
        <v>484</v>
      </c>
      <c r="D10" s="345">
        <f>Výdavky!I226</f>
        <v>780073</v>
      </c>
      <c r="E10" s="131">
        <f>Výdavky!J226</f>
        <v>295326</v>
      </c>
      <c r="F10" s="236">
        <f t="shared" si="0"/>
        <v>37.85876450024549</v>
      </c>
      <c r="G10" s="131">
        <f>Výdavky!M226</f>
        <v>57400</v>
      </c>
      <c r="H10" s="191">
        <f>Výdavky!N226</f>
        <v>17277</v>
      </c>
      <c r="I10" s="236">
        <f t="shared" si="3"/>
        <v>30.0993031358885</v>
      </c>
      <c r="J10" s="240">
        <f t="shared" si="4"/>
        <v>837473</v>
      </c>
      <c r="K10" s="120">
        <f t="shared" si="1"/>
        <v>312603</v>
      </c>
      <c r="L10" s="196">
        <f t="shared" si="2"/>
        <v>37.32693471908945</v>
      </c>
    </row>
    <row r="11" spans="2:12" ht="14.25">
      <c r="B11" s="119">
        <v>7</v>
      </c>
      <c r="C11" s="337" t="s">
        <v>485</v>
      </c>
      <c r="D11" s="345">
        <f>Výdavky!I335</f>
        <v>2265895</v>
      </c>
      <c r="E11" s="131">
        <f>Výdavky!J335</f>
        <v>881536</v>
      </c>
      <c r="F11" s="236">
        <f t="shared" si="0"/>
        <v>38.904538824614555</v>
      </c>
      <c r="G11" s="131">
        <f>Výdavky!M335</f>
        <v>20000</v>
      </c>
      <c r="H11" s="191">
        <f>Výdavky!N335</f>
        <v>0</v>
      </c>
      <c r="I11" s="236">
        <f t="shared" si="3"/>
        <v>0</v>
      </c>
      <c r="J11" s="240">
        <f t="shared" si="4"/>
        <v>2285895</v>
      </c>
      <c r="K11" s="120">
        <f t="shared" si="1"/>
        <v>881536</v>
      </c>
      <c r="L11" s="196">
        <f t="shared" si="2"/>
        <v>38.56415102180984</v>
      </c>
    </row>
    <row r="12" spans="2:12" ht="14.25">
      <c r="B12" s="119">
        <v>8</v>
      </c>
      <c r="C12" s="337" t="s">
        <v>486</v>
      </c>
      <c r="D12" s="345">
        <f>Výdavky!I446</f>
        <v>4829120</v>
      </c>
      <c r="E12" s="131">
        <f>Výdavky!J446</f>
        <v>1836796</v>
      </c>
      <c r="F12" s="236">
        <f t="shared" si="0"/>
        <v>38.03583261546617</v>
      </c>
      <c r="G12" s="131">
        <f>Výdavky!M446</f>
        <v>5237571</v>
      </c>
      <c r="H12" s="191">
        <f>Výdavky!N446</f>
        <v>369520</v>
      </c>
      <c r="I12" s="236">
        <f t="shared" si="3"/>
        <v>7.055178822396871</v>
      </c>
      <c r="J12" s="240">
        <f t="shared" si="4"/>
        <v>10066691</v>
      </c>
      <c r="K12" s="120">
        <f t="shared" si="1"/>
        <v>2206316</v>
      </c>
      <c r="L12" s="196">
        <f t="shared" si="2"/>
        <v>21.91699337945309</v>
      </c>
    </row>
    <row r="13" spans="2:12" ht="14.25">
      <c r="B13" s="119">
        <v>9</v>
      </c>
      <c r="C13" s="337" t="s">
        <v>487</v>
      </c>
      <c r="D13" s="345">
        <f>Výdavky!I547</f>
        <v>23485151</v>
      </c>
      <c r="E13" s="131">
        <f>Výdavky!J547</f>
        <v>9066807</v>
      </c>
      <c r="F13" s="236">
        <f t="shared" si="0"/>
        <v>38.606551859087475</v>
      </c>
      <c r="G13" s="131">
        <f>Výdavky!M547</f>
        <v>763651</v>
      </c>
      <c r="H13" s="191">
        <f>Výdavky!N547</f>
        <v>85937</v>
      </c>
      <c r="I13" s="236">
        <f t="shared" si="3"/>
        <v>11.253439070989234</v>
      </c>
      <c r="J13" s="240">
        <f t="shared" si="4"/>
        <v>24248802</v>
      </c>
      <c r="K13" s="120">
        <f t="shared" si="1"/>
        <v>9152744</v>
      </c>
      <c r="L13" s="196">
        <f t="shared" si="2"/>
        <v>37.74513891449153</v>
      </c>
    </row>
    <row r="14" spans="2:12" ht="14.25">
      <c r="B14" s="119">
        <v>10</v>
      </c>
      <c r="C14" s="337" t="s">
        <v>488</v>
      </c>
      <c r="D14" s="345">
        <f>Výdavky!I1335</f>
        <v>2119208</v>
      </c>
      <c r="E14" s="131">
        <f>Výdavky!J1335</f>
        <v>762514</v>
      </c>
      <c r="F14" s="236">
        <f t="shared" si="0"/>
        <v>35.98108349911854</v>
      </c>
      <c r="G14" s="131">
        <f>Výdavky!M1335</f>
        <v>2697180</v>
      </c>
      <c r="H14" s="191">
        <f>Výdavky!N1335</f>
        <v>92163</v>
      </c>
      <c r="I14" s="236">
        <f t="shared" si="3"/>
        <v>3.417013325028363</v>
      </c>
      <c r="J14" s="240">
        <f t="shared" si="4"/>
        <v>4816388</v>
      </c>
      <c r="K14" s="120">
        <f t="shared" si="1"/>
        <v>854677</v>
      </c>
      <c r="L14" s="196">
        <f t="shared" si="2"/>
        <v>17.745185811442102</v>
      </c>
    </row>
    <row r="15" spans="2:12" ht="14.25">
      <c r="B15" s="119">
        <v>11</v>
      </c>
      <c r="C15" s="337" t="s">
        <v>489</v>
      </c>
      <c r="D15" s="345">
        <f>Výdavky!I1496</f>
        <v>455980</v>
      </c>
      <c r="E15" s="131">
        <f>Výdavky!J1496</f>
        <v>75847</v>
      </c>
      <c r="F15" s="236">
        <f t="shared" si="0"/>
        <v>16.633843589631127</v>
      </c>
      <c r="G15" s="131">
        <f>Výdavky!M1496</f>
        <v>206320</v>
      </c>
      <c r="H15" s="191">
        <f>Výdavky!N1496</f>
        <v>11815</v>
      </c>
      <c r="I15" s="236">
        <f t="shared" si="3"/>
        <v>5.726541295075611</v>
      </c>
      <c r="J15" s="240">
        <f t="shared" si="4"/>
        <v>662300</v>
      </c>
      <c r="K15" s="120">
        <f t="shared" si="1"/>
        <v>87662</v>
      </c>
      <c r="L15" s="196">
        <f t="shared" si="2"/>
        <v>13.23599577230862</v>
      </c>
    </row>
    <row r="16" spans="2:12" ht="14.25">
      <c r="B16" s="119">
        <v>12</v>
      </c>
      <c r="C16" s="337" t="s">
        <v>490</v>
      </c>
      <c r="D16" s="345">
        <f>Výdavky!I1549</f>
        <v>4681465</v>
      </c>
      <c r="E16" s="131">
        <f>Výdavky!J1549</f>
        <v>1311696</v>
      </c>
      <c r="F16" s="236">
        <f t="shared" si="0"/>
        <v>28.018921427373694</v>
      </c>
      <c r="G16" s="131">
        <f>Výdavky!M1549</f>
        <v>1269462</v>
      </c>
      <c r="H16" s="191">
        <f>Výdavky!N1549</f>
        <v>126418</v>
      </c>
      <c r="I16" s="236">
        <f t="shared" si="3"/>
        <v>9.958391822677639</v>
      </c>
      <c r="J16" s="240">
        <f t="shared" si="4"/>
        <v>5950927</v>
      </c>
      <c r="K16" s="120">
        <f t="shared" si="1"/>
        <v>1438114</v>
      </c>
      <c r="L16" s="196">
        <f t="shared" si="2"/>
        <v>24.166218137107045</v>
      </c>
    </row>
    <row r="17" spans="2:12" ht="14.25">
      <c r="B17" s="119">
        <v>13</v>
      </c>
      <c r="C17" s="337" t="s">
        <v>491</v>
      </c>
      <c r="D17" s="345">
        <f>Výdavky!I1658</f>
        <v>4057100</v>
      </c>
      <c r="E17" s="131">
        <f>Výdavky!J1658</f>
        <v>1704347</v>
      </c>
      <c r="F17" s="236">
        <f t="shared" si="0"/>
        <v>42.00899657390747</v>
      </c>
      <c r="G17" s="131">
        <f>Výdavky!M1658</f>
        <v>228500</v>
      </c>
      <c r="H17" s="191">
        <f>Výdavky!N1658</f>
        <v>0</v>
      </c>
      <c r="I17" s="236">
        <f t="shared" si="3"/>
        <v>0</v>
      </c>
      <c r="J17" s="240">
        <f t="shared" si="4"/>
        <v>4285600</v>
      </c>
      <c r="K17" s="120">
        <f t="shared" si="1"/>
        <v>1704347</v>
      </c>
      <c r="L17" s="196">
        <f t="shared" si="2"/>
        <v>39.76915717752473</v>
      </c>
    </row>
    <row r="18" spans="2:12" ht="14.25">
      <c r="B18" s="119">
        <v>14</v>
      </c>
      <c r="C18" s="337" t="s">
        <v>492</v>
      </c>
      <c r="D18" s="345">
        <f>Výdavky!I1821</f>
        <v>365250</v>
      </c>
      <c r="E18" s="131">
        <f>Výdavky!J1821</f>
        <v>136176</v>
      </c>
      <c r="F18" s="236">
        <f t="shared" si="0"/>
        <v>37.2829568788501</v>
      </c>
      <c r="G18" s="131">
        <f>Výdavky!M1821</f>
        <v>0</v>
      </c>
      <c r="H18" s="191">
        <f>Výdavky!N1821</f>
        <v>0</v>
      </c>
      <c r="I18" s="236">
        <v>0</v>
      </c>
      <c r="J18" s="240">
        <f t="shared" si="4"/>
        <v>365250</v>
      </c>
      <c r="K18" s="120">
        <f t="shared" si="1"/>
        <v>136176</v>
      </c>
      <c r="L18" s="196">
        <f t="shared" si="2"/>
        <v>37.2829568788501</v>
      </c>
    </row>
    <row r="19" spans="2:15" s="13" customFormat="1" ht="15">
      <c r="B19" s="121">
        <v>15</v>
      </c>
      <c r="C19" s="338" t="s">
        <v>493</v>
      </c>
      <c r="D19" s="346">
        <f>D5-D6</f>
        <v>98404</v>
      </c>
      <c r="E19" s="132">
        <f>E5-E6</f>
        <v>6628965</v>
      </c>
      <c r="F19" s="236"/>
      <c r="G19" s="132"/>
      <c r="H19" s="192"/>
      <c r="I19" s="236"/>
      <c r="J19" s="241"/>
      <c r="K19" s="122"/>
      <c r="L19" s="196"/>
      <c r="M19" s="88"/>
      <c r="N19" s="256"/>
      <c r="O19" s="88"/>
    </row>
    <row r="20" spans="2:15" s="13" customFormat="1" ht="15">
      <c r="B20" s="121">
        <v>16</v>
      </c>
      <c r="C20" s="339" t="s">
        <v>494</v>
      </c>
      <c r="D20" s="346"/>
      <c r="E20" s="132"/>
      <c r="F20" s="236"/>
      <c r="G20" s="132">
        <f>G5-G6</f>
        <v>-6324300</v>
      </c>
      <c r="H20" s="192">
        <f>H5-H6</f>
        <v>-365552</v>
      </c>
      <c r="I20" s="236"/>
      <c r="J20" s="241"/>
      <c r="K20" s="122"/>
      <c r="L20" s="196"/>
      <c r="M20" s="88"/>
      <c r="N20" s="256"/>
      <c r="O20" s="88"/>
    </row>
    <row r="21" spans="2:15" s="13" customFormat="1" ht="15.75" thickBot="1">
      <c r="B21" s="123">
        <v>17</v>
      </c>
      <c r="C21" s="340" t="s">
        <v>495</v>
      </c>
      <c r="D21" s="347"/>
      <c r="E21" s="133"/>
      <c r="F21" s="237"/>
      <c r="G21" s="133"/>
      <c r="H21" s="193"/>
      <c r="I21" s="237"/>
      <c r="J21" s="242">
        <f>J5-J6</f>
        <v>-6225896</v>
      </c>
      <c r="K21" s="124">
        <f>K5-K6</f>
        <v>6263413</v>
      </c>
      <c r="L21" s="231"/>
      <c r="M21" s="88"/>
      <c r="N21" s="256"/>
      <c r="O21" s="88"/>
    </row>
    <row r="22" ht="8.25" customHeight="1" thickBot="1"/>
    <row r="23" spans="2:12" ht="15.75" thickBot="1">
      <c r="B23" s="307" t="s">
        <v>110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</row>
    <row r="24" spans="2:12" ht="15.75">
      <c r="B24" s="125">
        <v>1</v>
      </c>
      <c r="C24" s="321" t="s">
        <v>30</v>
      </c>
      <c r="D24" s="322"/>
      <c r="E24" s="322"/>
      <c r="F24" s="322"/>
      <c r="G24" s="322"/>
      <c r="H24" s="194"/>
      <c r="I24" s="194"/>
      <c r="J24" s="221">
        <f>SUM(J25:J32)</f>
        <v>8614896</v>
      </c>
      <c r="K24" s="225">
        <f>SUM(K25:K33)</f>
        <v>7013746</v>
      </c>
      <c r="L24" s="226">
        <f aca="true" t="shared" si="5" ref="L24:L39">K24/J24*100</f>
        <v>81.41416913216364</v>
      </c>
    </row>
    <row r="25" spans="2:12" ht="12.75">
      <c r="B25" s="115">
        <f aca="true" t="shared" si="6" ref="B25:B38">B24+1</f>
        <v>2</v>
      </c>
      <c r="C25" s="315" t="s">
        <v>386</v>
      </c>
      <c r="D25" s="316"/>
      <c r="E25" s="316"/>
      <c r="F25" s="316"/>
      <c r="G25" s="316"/>
      <c r="H25" s="141"/>
      <c r="I25" s="141"/>
      <c r="J25" s="222">
        <f>3736647+2915640</f>
        <v>6652287</v>
      </c>
      <c r="K25" s="227">
        <v>6652287</v>
      </c>
      <c r="L25" s="228">
        <f t="shared" si="5"/>
        <v>100</v>
      </c>
    </row>
    <row r="26" spans="2:13" ht="12.75">
      <c r="B26" s="115">
        <f t="shared" si="6"/>
        <v>3</v>
      </c>
      <c r="C26" s="161" t="s">
        <v>552</v>
      </c>
      <c r="D26" s="162"/>
      <c r="E26" s="162"/>
      <c r="F26" s="162"/>
      <c r="G26" s="162"/>
      <c r="H26" s="141"/>
      <c r="I26" s="141"/>
      <c r="J26" s="222">
        <v>12467</v>
      </c>
      <c r="K26" s="227">
        <v>12467</v>
      </c>
      <c r="L26" s="228">
        <f t="shared" si="5"/>
        <v>100</v>
      </c>
      <c r="M26" s="163"/>
    </row>
    <row r="27" spans="2:13" ht="12.75">
      <c r="B27" s="115">
        <f t="shared" si="6"/>
        <v>4</v>
      </c>
      <c r="C27" s="161" t="s">
        <v>553</v>
      </c>
      <c r="D27" s="162"/>
      <c r="E27" s="162"/>
      <c r="F27" s="162"/>
      <c r="G27" s="162"/>
      <c r="H27" s="141"/>
      <c r="I27" s="141"/>
      <c r="J27" s="222">
        <v>222781</v>
      </c>
      <c r="K27" s="227">
        <v>222781</v>
      </c>
      <c r="L27" s="228">
        <f t="shared" si="5"/>
        <v>100</v>
      </c>
      <c r="M27" s="163"/>
    </row>
    <row r="28" spans="2:13" ht="12.75">
      <c r="B28" s="115">
        <f t="shared" si="6"/>
        <v>5</v>
      </c>
      <c r="C28" s="161" t="s">
        <v>554</v>
      </c>
      <c r="D28" s="162"/>
      <c r="E28" s="162"/>
      <c r="F28" s="162"/>
      <c r="G28" s="162"/>
      <c r="H28" s="141"/>
      <c r="I28" s="141"/>
      <c r="J28" s="222">
        <v>120048</v>
      </c>
      <c r="K28" s="227">
        <v>120048</v>
      </c>
      <c r="L28" s="228">
        <f t="shared" si="5"/>
        <v>100</v>
      </c>
      <c r="M28" s="163"/>
    </row>
    <row r="29" spans="2:13" ht="12.75">
      <c r="B29" s="115">
        <f t="shared" si="6"/>
        <v>6</v>
      </c>
      <c r="C29" s="161" t="s">
        <v>555</v>
      </c>
      <c r="D29" s="162"/>
      <c r="E29" s="162"/>
      <c r="F29" s="162"/>
      <c r="G29" s="162"/>
      <c r="H29" s="141"/>
      <c r="I29" s="141"/>
      <c r="J29" s="222">
        <v>3713</v>
      </c>
      <c r="K29" s="227">
        <v>3713</v>
      </c>
      <c r="L29" s="228">
        <f t="shared" si="5"/>
        <v>100</v>
      </c>
      <c r="M29" s="163"/>
    </row>
    <row r="30" spans="2:12" ht="12.75">
      <c r="B30" s="115">
        <f t="shared" si="6"/>
        <v>7</v>
      </c>
      <c r="C30" s="315" t="s">
        <v>387</v>
      </c>
      <c r="D30" s="316"/>
      <c r="E30" s="316"/>
      <c r="F30" s="316"/>
      <c r="G30" s="316"/>
      <c r="H30" s="141"/>
      <c r="I30" s="141"/>
      <c r="J30" s="222">
        <v>1600000</v>
      </c>
      <c r="K30" s="227">
        <v>0</v>
      </c>
      <c r="L30" s="228">
        <f t="shared" si="5"/>
        <v>0</v>
      </c>
    </row>
    <row r="31" spans="2:12" ht="12.75">
      <c r="B31" s="115">
        <f t="shared" si="6"/>
        <v>8</v>
      </c>
      <c r="C31" s="140" t="s">
        <v>532</v>
      </c>
      <c r="D31" s="141"/>
      <c r="E31" s="141"/>
      <c r="F31" s="141"/>
      <c r="G31" s="141"/>
      <c r="H31" s="141"/>
      <c r="I31" s="141"/>
      <c r="J31" s="222">
        <v>1200</v>
      </c>
      <c r="K31" s="227">
        <v>0</v>
      </c>
      <c r="L31" s="228">
        <f t="shared" si="5"/>
        <v>0</v>
      </c>
    </row>
    <row r="32" spans="2:12" ht="12.75">
      <c r="B32" s="115">
        <f t="shared" si="6"/>
        <v>9</v>
      </c>
      <c r="C32" s="140" t="s">
        <v>534</v>
      </c>
      <c r="D32" s="141"/>
      <c r="E32" s="141"/>
      <c r="F32" s="141"/>
      <c r="G32" s="141"/>
      <c r="H32" s="141"/>
      <c r="I32" s="141"/>
      <c r="J32" s="222">
        <v>2400</v>
      </c>
      <c r="K32" s="227">
        <v>2400</v>
      </c>
      <c r="L32" s="228">
        <f t="shared" si="5"/>
        <v>100</v>
      </c>
    </row>
    <row r="33" spans="2:12" ht="12.75">
      <c r="B33" s="115">
        <f t="shared" si="6"/>
        <v>10</v>
      </c>
      <c r="C33" s="140" t="s">
        <v>585</v>
      </c>
      <c r="D33" s="141"/>
      <c r="E33" s="141"/>
      <c r="F33" s="141"/>
      <c r="G33" s="141"/>
      <c r="H33" s="141"/>
      <c r="I33" s="141"/>
      <c r="J33" s="222">
        <v>0</v>
      </c>
      <c r="K33" s="227">
        <v>50</v>
      </c>
      <c r="L33" s="228">
        <v>0</v>
      </c>
    </row>
    <row r="34" spans="2:12" ht="15.75">
      <c r="B34" s="115">
        <f t="shared" si="6"/>
        <v>11</v>
      </c>
      <c r="C34" s="323" t="s">
        <v>31</v>
      </c>
      <c r="D34" s="324"/>
      <c r="E34" s="324"/>
      <c r="F34" s="324"/>
      <c r="G34" s="324"/>
      <c r="H34" s="165"/>
      <c r="I34" s="165"/>
      <c r="J34" s="223">
        <f>SUM(J35:J39)</f>
        <v>2139000</v>
      </c>
      <c r="K34" s="229">
        <f>SUM(K35:K39)</f>
        <v>1063025</v>
      </c>
      <c r="L34" s="228">
        <f t="shared" si="5"/>
        <v>49.69728845254792</v>
      </c>
    </row>
    <row r="35" spans="2:12" ht="12.75">
      <c r="B35" s="115">
        <f t="shared" si="6"/>
        <v>12</v>
      </c>
      <c r="C35" s="315" t="s">
        <v>496</v>
      </c>
      <c r="D35" s="316"/>
      <c r="E35" s="316"/>
      <c r="F35" s="316"/>
      <c r="G35" s="316"/>
      <c r="H35" s="141"/>
      <c r="I35" s="141"/>
      <c r="J35" s="222">
        <v>1846300</v>
      </c>
      <c r="K35" s="227">
        <v>923133</v>
      </c>
      <c r="L35" s="228">
        <f t="shared" si="5"/>
        <v>49.9990792395602</v>
      </c>
    </row>
    <row r="36" spans="2:12" ht="12.75">
      <c r="B36" s="115">
        <f t="shared" si="6"/>
        <v>13</v>
      </c>
      <c r="C36" s="315" t="s">
        <v>497</v>
      </c>
      <c r="D36" s="316"/>
      <c r="E36" s="316"/>
      <c r="F36" s="316"/>
      <c r="G36" s="316"/>
      <c r="H36" s="141"/>
      <c r="I36" s="141"/>
      <c r="J36" s="222">
        <v>184700</v>
      </c>
      <c r="K36" s="227">
        <v>92334</v>
      </c>
      <c r="L36" s="228">
        <f t="shared" si="5"/>
        <v>49.99133730373579</v>
      </c>
    </row>
    <row r="37" spans="2:12" ht="12.75">
      <c r="B37" s="115">
        <f t="shared" si="6"/>
        <v>14</v>
      </c>
      <c r="C37" s="315" t="s">
        <v>498</v>
      </c>
      <c r="D37" s="316"/>
      <c r="E37" s="316"/>
      <c r="F37" s="316"/>
      <c r="G37" s="316"/>
      <c r="H37" s="141"/>
      <c r="I37" s="141"/>
      <c r="J37" s="222">
        <v>26500</v>
      </c>
      <c r="K37" s="227">
        <v>14254</v>
      </c>
      <c r="L37" s="228">
        <f t="shared" si="5"/>
        <v>53.78867924528302</v>
      </c>
    </row>
    <row r="38" spans="2:12" ht="12.75">
      <c r="B38" s="115">
        <f t="shared" si="6"/>
        <v>15</v>
      </c>
      <c r="C38" s="315" t="s">
        <v>499</v>
      </c>
      <c r="D38" s="316"/>
      <c r="E38" s="316"/>
      <c r="F38" s="316"/>
      <c r="G38" s="316"/>
      <c r="H38" s="141"/>
      <c r="I38" s="141"/>
      <c r="J38" s="222">
        <v>55000</v>
      </c>
      <c r="K38" s="227">
        <v>22189</v>
      </c>
      <c r="L38" s="228">
        <f t="shared" si="5"/>
        <v>40.343636363636364</v>
      </c>
    </row>
    <row r="39" spans="2:12" ht="13.5" thickBot="1">
      <c r="B39" s="115">
        <f>B38+1</f>
        <v>16</v>
      </c>
      <c r="C39" s="317" t="s">
        <v>500</v>
      </c>
      <c r="D39" s="318"/>
      <c r="E39" s="318"/>
      <c r="F39" s="318"/>
      <c r="G39" s="318"/>
      <c r="H39" s="195"/>
      <c r="I39" s="195"/>
      <c r="J39" s="222">
        <v>26500</v>
      </c>
      <c r="K39" s="227">
        <v>11115</v>
      </c>
      <c r="L39" s="228">
        <f t="shared" si="5"/>
        <v>41.94339622641509</v>
      </c>
    </row>
    <row r="40" spans="2:12" ht="17.25" thickBot="1" thickTop="1">
      <c r="B40" s="127">
        <f>B39+1</f>
        <v>17</v>
      </c>
      <c r="C40" s="319" t="s">
        <v>32</v>
      </c>
      <c r="D40" s="320"/>
      <c r="E40" s="320"/>
      <c r="F40" s="320"/>
      <c r="G40" s="320"/>
      <c r="H40" s="166"/>
      <c r="I40" s="166"/>
      <c r="J40" s="224">
        <f>J21+J24-J34</f>
        <v>250000</v>
      </c>
      <c r="K40" s="230">
        <f>K21+K24-K34</f>
        <v>12214134</v>
      </c>
      <c r="L40" s="231"/>
    </row>
    <row r="42" spans="2:12" ht="31.5" customHeight="1">
      <c r="B42" s="325" t="s">
        <v>501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</row>
    <row r="43" spans="2:12" ht="45" customHeight="1">
      <c r="B43" s="314" t="s">
        <v>511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</row>
  </sheetData>
  <sheetProtection/>
  <mergeCells count="23">
    <mergeCell ref="B43:L43"/>
    <mergeCell ref="C25:G25"/>
    <mergeCell ref="C30:G30"/>
    <mergeCell ref="I2:I3"/>
    <mergeCell ref="J2:J3"/>
    <mergeCell ref="B2:C3"/>
    <mergeCell ref="B42:L42"/>
    <mergeCell ref="D2:D3"/>
    <mergeCell ref="C36:G36"/>
    <mergeCell ref="C37:G37"/>
    <mergeCell ref="C38:G38"/>
    <mergeCell ref="C39:G39"/>
    <mergeCell ref="C40:G40"/>
    <mergeCell ref="C24:G24"/>
    <mergeCell ref="C34:G34"/>
    <mergeCell ref="C35:G35"/>
    <mergeCell ref="K2:K3"/>
    <mergeCell ref="L2:L3"/>
    <mergeCell ref="B23:L23"/>
    <mergeCell ref="E2:E3"/>
    <mergeCell ref="F2:F3"/>
    <mergeCell ref="G2:G3"/>
    <mergeCell ref="H2:H3"/>
  </mergeCell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2020-08-25T05:24:21Z</cp:lastPrinted>
  <dcterms:created xsi:type="dcterms:W3CDTF">2014-05-27T11:25:41Z</dcterms:created>
  <dcterms:modified xsi:type="dcterms:W3CDTF">2020-08-25T05:24:29Z</dcterms:modified>
  <cp:category/>
  <cp:version/>
  <cp:contentType/>
  <cp:contentStatus/>
</cp:coreProperties>
</file>