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2019\Záverečný účet 2019\"/>
    </mc:Choice>
  </mc:AlternateContent>
  <xr:revisionPtr revIDLastSave="0" documentId="13_ncr:1_{FAAC54F3-DAC6-4083-B3DF-6EB1C9BC6D9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úvahy" sheetId="1" r:id="rId1"/>
    <sheet name="MHSL" sheetId="2" r:id="rId2"/>
    <sheet name="SSMT" sheetId="3" r:id="rId3"/>
    <sheet name="ŠZMT" sheetId="4" r:id="rId4"/>
    <sheet name="Materské_školy" sheetId="5" r:id="rId5"/>
    <sheet name="Základné_školy" sheetId="6" r:id="rId6"/>
    <sheet name="Bežné_dotácie" sheetId="7" r:id="rId7"/>
    <sheet name="Kapitálové_dotácie" sheetId="8" r:id="rId8"/>
    <sheet name="Dotácie_na_šport_1" sheetId="9" r:id="rId9"/>
    <sheet name="Dotácie_na_šport_2" sheetId="10" r:id="rId10"/>
    <sheet name="Dotácie_kultúra" sheetId="11" r:id="rId11"/>
    <sheet name="Dotácie_v_soc_oblasti" sheetId="12" r:id="rId12"/>
    <sheet name="Dotácie_v_oblasti_školstva" sheetId="13" r:id="rId13"/>
    <sheet name="Dotácie_v_oblasti_ŽP" sheetId="14" r:id="rId14"/>
    <sheet name="Pohľadávky" sheetId="15" r:id="rId15"/>
    <sheet name="Prehľad_dlhu" sheetId="16" r:id="rId16"/>
    <sheet name="Vývoj_dlhovej_služby" sheetId="17" r:id="rId17"/>
    <sheet name="BV-funkčná_kl_" sheetId="18" r:id="rId18"/>
    <sheet name="KV-funkčná_kl_" sheetId="19" r:id="rId19"/>
    <sheet name="Výdavky_ek_kl_" sheetId="20" r:id="rId20"/>
    <sheet name="FO_podľa_RK" sheetId="21" r:id="rId21"/>
    <sheet name="Počet_zamest_ZŠ" sheetId="22" r:id="rId22"/>
    <sheet name="Počet_žiakov_a_tried" sheetId="23" r:id="rId23"/>
    <sheet name="Zoznam_org_" sheetId="24" r:id="rId24"/>
    <sheet name="ESA" sheetId="25" r:id="rId25"/>
  </sheets>
  <definedNames>
    <definedName name="_xlnm.Print_Area" localSheetId="6">Bežné_dotácie!$C$2:$F$42</definedName>
    <definedName name="_xlnm.Print_Area" localSheetId="17">'BV-funkčná_kl_'!$B$2:$G$51</definedName>
    <definedName name="_xlnm.Print_Area" localSheetId="10">Dotácie_kultúra!$B$1:$E$71</definedName>
    <definedName name="_xlnm.Print_Area" localSheetId="8">Dotácie_na_šport_1!$B$3:$D$42</definedName>
    <definedName name="_xlnm.Print_Area" localSheetId="9">Dotácie_na_šport_2!$B$3:$E$58</definedName>
    <definedName name="_xlnm.Print_Area" localSheetId="12">Dotácie_v_oblasti_školstva!$B$3:$E$27</definedName>
    <definedName name="_xlnm.Print_Area" localSheetId="13">Dotácie_v_oblasti_ŽP!$B$3:$E$14</definedName>
    <definedName name="_xlnm.Print_Area" localSheetId="11">Dotácie_v_soc_oblasti!$B$2:$E$28</definedName>
    <definedName name="_xlnm.Print_Area" localSheetId="24">ESA!$B$2:$D$31</definedName>
    <definedName name="_xlnm.Print_Area" localSheetId="20">FO_podľa_RK!$B$2:$F$13</definedName>
    <definedName name="_xlnm.Print_Area" localSheetId="7">Kapitálové_dotácie!$B$2:$E$13</definedName>
    <definedName name="_xlnm.Print_Area" localSheetId="18">'KV-funkčná_kl_'!$B$2:$G$36</definedName>
    <definedName name="_xlnm.Print_Area" localSheetId="4">Materské_školy!$B$2:$J$72</definedName>
    <definedName name="_xlnm.Print_Area" localSheetId="1">MHSL!$B$1:$H$68</definedName>
    <definedName name="_xlnm.Print_Area" localSheetId="21">Počet_zamest_ZŠ!$B$2:$I$23</definedName>
    <definedName name="_xlnm.Print_Area" localSheetId="22">Počet_žiakov_a_tried!$A$2:$R$26</definedName>
    <definedName name="_xlnm.Print_Area" localSheetId="14">Pohľadávky!$B$1:$E$23</definedName>
    <definedName name="_xlnm.Print_Area" localSheetId="15">Prehľad_dlhu!$B$2:$J$50</definedName>
    <definedName name="_xlnm.Print_Area" localSheetId="2">SSMT!$B$2:$G$64</definedName>
    <definedName name="_xlnm.Print_Area" localSheetId="0">Súvahy!$B$3:$L$24</definedName>
    <definedName name="_xlnm.Print_Area" localSheetId="3">ŠZMT!$B$1:$H$32</definedName>
    <definedName name="_xlnm.Print_Area" localSheetId="19">Výdavky_ek_kl_!$B$3:$F$30</definedName>
    <definedName name="_xlnm.Print_Area" localSheetId="16">Vývoj_dlhovej_služby!$B$2:$I$42</definedName>
    <definedName name="_xlnm.Print_Area" localSheetId="5">Základné_školy!$B$3:$J$357</definedName>
    <definedName name="_xlnm.Print_Area" localSheetId="23">Zoznam_org_!$B$2:$D$22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1" i="6" l="1"/>
  <c r="H271" i="6"/>
  <c r="G271" i="6"/>
  <c r="F271" i="6"/>
  <c r="E271" i="6"/>
  <c r="D271" i="6"/>
  <c r="C271" i="6"/>
  <c r="D23" i="25" l="1"/>
  <c r="D20" i="25"/>
  <c r="G49" i="16" l="1"/>
  <c r="H49" i="16" s="1"/>
  <c r="J49" i="16" s="1"/>
  <c r="G47" i="16"/>
  <c r="H47" i="16" s="1"/>
  <c r="J47" i="16" s="1"/>
  <c r="G41" i="16"/>
  <c r="H41" i="16" s="1"/>
  <c r="J41" i="16" s="1"/>
  <c r="G39" i="16"/>
  <c r="H39" i="16" s="1"/>
  <c r="J39" i="16" s="1"/>
  <c r="G37" i="16"/>
  <c r="H37" i="16" s="1"/>
  <c r="J37" i="16" s="1"/>
  <c r="G35" i="16"/>
  <c r="H35" i="16" s="1"/>
  <c r="J35" i="16" s="1"/>
  <c r="G32" i="16"/>
  <c r="H32" i="16" s="1"/>
  <c r="J32" i="16" s="1"/>
  <c r="G29" i="16"/>
  <c r="H29" i="16" s="1"/>
  <c r="J29" i="16" s="1"/>
  <c r="J26" i="16"/>
  <c r="G23" i="16"/>
  <c r="H23" i="16" s="1"/>
  <c r="J23" i="16" s="1"/>
  <c r="G20" i="16"/>
  <c r="H20" i="16" s="1"/>
  <c r="J20" i="16" s="1"/>
  <c r="G17" i="16"/>
  <c r="H17" i="16" s="1"/>
  <c r="D17" i="16"/>
  <c r="G14" i="16"/>
  <c r="H14" i="16" s="1"/>
  <c r="J14" i="16" s="1"/>
  <c r="G11" i="16"/>
  <c r="H11" i="16" s="1"/>
  <c r="J11" i="16" s="1"/>
  <c r="F10" i="16"/>
  <c r="E10" i="16"/>
  <c r="G8" i="16"/>
  <c r="H8" i="16" s="1"/>
  <c r="J8" i="16" s="1"/>
  <c r="J17" i="16" l="1"/>
  <c r="C12" i="17" l="1"/>
  <c r="H12" i="17"/>
  <c r="I12" i="17" l="1"/>
  <c r="I14" i="17"/>
  <c r="I18" i="17"/>
  <c r="D12" i="17"/>
  <c r="E12" i="17"/>
  <c r="F12" i="17"/>
  <c r="G12" i="17"/>
  <c r="E14" i="17"/>
  <c r="F14" i="17"/>
  <c r="G14" i="17"/>
  <c r="G16" i="17"/>
  <c r="G18" i="17" s="1"/>
  <c r="E18" i="17"/>
  <c r="F18" i="17"/>
  <c r="D277" i="6"/>
  <c r="E277" i="6"/>
  <c r="F277" i="6"/>
  <c r="G277" i="6"/>
  <c r="H277" i="6"/>
  <c r="I277" i="6"/>
  <c r="C277" i="6"/>
  <c r="D276" i="6"/>
  <c r="E276" i="6"/>
  <c r="F276" i="6"/>
  <c r="G276" i="6"/>
  <c r="H276" i="6"/>
  <c r="I276" i="6"/>
  <c r="C276" i="6"/>
  <c r="D275" i="6"/>
  <c r="E275" i="6"/>
  <c r="F275" i="6"/>
  <c r="G275" i="6"/>
  <c r="H275" i="6"/>
  <c r="I275" i="6"/>
  <c r="C275" i="6"/>
  <c r="D274" i="6"/>
  <c r="E274" i="6"/>
  <c r="F274" i="6"/>
  <c r="G274" i="6"/>
  <c r="H274" i="6"/>
  <c r="I274" i="6"/>
  <c r="C274" i="6"/>
  <c r="D273" i="6"/>
  <c r="E273" i="6"/>
  <c r="F273" i="6"/>
  <c r="G273" i="6"/>
  <c r="H273" i="6"/>
  <c r="I273" i="6"/>
  <c r="C273" i="6"/>
  <c r="D272" i="6"/>
  <c r="E272" i="6"/>
  <c r="F272" i="6"/>
  <c r="G272" i="6"/>
  <c r="H272" i="6"/>
  <c r="I272" i="6"/>
  <c r="C272" i="6"/>
  <c r="D270" i="6"/>
  <c r="E270" i="6"/>
  <c r="F270" i="6"/>
  <c r="G270" i="6"/>
  <c r="H270" i="6"/>
  <c r="I270" i="6"/>
  <c r="C270" i="6"/>
  <c r="D269" i="6"/>
  <c r="E269" i="6"/>
  <c r="F269" i="6"/>
  <c r="G269" i="6"/>
  <c r="H269" i="6"/>
  <c r="I269" i="6"/>
  <c r="C269" i="6"/>
  <c r="D268" i="6"/>
  <c r="E268" i="6"/>
  <c r="F268" i="6"/>
  <c r="G268" i="6"/>
  <c r="H268" i="6"/>
  <c r="I268" i="6"/>
  <c r="C268" i="6"/>
  <c r="D266" i="6"/>
  <c r="E266" i="6"/>
  <c r="F266" i="6"/>
  <c r="G266" i="6"/>
  <c r="H266" i="6"/>
  <c r="I266" i="6"/>
  <c r="C266" i="6"/>
  <c r="D265" i="6"/>
  <c r="E265" i="6"/>
  <c r="F265" i="6"/>
  <c r="G265" i="6"/>
  <c r="H265" i="6"/>
  <c r="I265" i="6"/>
  <c r="C265" i="6"/>
  <c r="E258" i="6"/>
  <c r="E257" i="6"/>
  <c r="E253" i="6"/>
  <c r="E252" i="6"/>
  <c r="E260" i="6"/>
  <c r="E261" i="6"/>
  <c r="E259" i="6"/>
  <c r="E256" i="6"/>
  <c r="E255" i="6"/>
  <c r="E254" i="6"/>
  <c r="F21" i="7"/>
  <c r="F5" i="7"/>
  <c r="E22" i="20"/>
  <c r="F22" i="20"/>
  <c r="D22" i="20"/>
  <c r="G41" i="18"/>
  <c r="F41" i="18"/>
  <c r="E41" i="18"/>
  <c r="F10" i="19"/>
  <c r="G10" i="19"/>
  <c r="E10" i="19"/>
  <c r="E28" i="12"/>
  <c r="H20" i="22"/>
  <c r="G20" i="22"/>
  <c r="F20" i="22"/>
  <c r="E20" i="22"/>
  <c r="D20" i="22"/>
  <c r="C20" i="22"/>
  <c r="I19" i="22"/>
  <c r="I18" i="22"/>
  <c r="I17" i="22"/>
  <c r="I16" i="22"/>
  <c r="I15" i="22"/>
  <c r="I14" i="22"/>
  <c r="I13" i="22"/>
  <c r="I12" i="22"/>
  <c r="I11" i="22"/>
  <c r="I10" i="22"/>
  <c r="I9" i="22"/>
  <c r="J269" i="6" l="1"/>
  <c r="I20" i="22"/>
  <c r="J272" i="6"/>
  <c r="E262" i="6"/>
  <c r="J268" i="6"/>
  <c r="J271" i="6"/>
  <c r="G267" i="6"/>
  <c r="G278" i="6" s="1"/>
  <c r="J277" i="6"/>
  <c r="J276" i="6"/>
  <c r="J275" i="6"/>
  <c r="J274" i="6"/>
  <c r="J273" i="6"/>
  <c r="F267" i="6"/>
  <c r="F278" i="6" s="1"/>
  <c r="D267" i="6"/>
  <c r="D278" i="6" s="1"/>
  <c r="J270" i="6"/>
  <c r="I267" i="6"/>
  <c r="I278" i="6" s="1"/>
  <c r="E267" i="6"/>
  <c r="E278" i="6" s="1"/>
  <c r="H267" i="6"/>
  <c r="H278" i="6" s="1"/>
  <c r="C267" i="6"/>
  <c r="C278" i="6" s="1"/>
  <c r="J266" i="6"/>
  <c r="J265" i="6"/>
  <c r="J267" i="6" l="1"/>
  <c r="J278" i="6"/>
  <c r="E27" i="13"/>
  <c r="E58" i="10" l="1"/>
  <c r="D42" i="9"/>
  <c r="I165" i="6" l="1"/>
  <c r="I174" i="6" s="1"/>
  <c r="J173" i="6"/>
  <c r="J172" i="6"/>
  <c r="J171" i="6"/>
  <c r="J170" i="6"/>
  <c r="J169" i="6"/>
  <c r="J168" i="6"/>
  <c r="J167" i="6"/>
  <c r="J166" i="6"/>
  <c r="J164" i="6"/>
  <c r="J163" i="6"/>
  <c r="J28" i="6" l="1"/>
  <c r="J26" i="6"/>
  <c r="J25" i="6"/>
  <c r="J24" i="6"/>
  <c r="J23" i="6"/>
  <c r="J22" i="6"/>
  <c r="J21" i="6"/>
  <c r="J20" i="6"/>
  <c r="J18" i="6"/>
  <c r="J17" i="6"/>
  <c r="J27" i="6"/>
  <c r="J240" i="6"/>
  <c r="I231" i="6"/>
  <c r="I242" i="6" s="1"/>
  <c r="J235" i="6"/>
  <c r="J90" i="6" l="1"/>
  <c r="J89" i="6"/>
  <c r="J88" i="6"/>
  <c r="J87" i="6"/>
  <c r="J86" i="6"/>
  <c r="J85" i="6"/>
  <c r="J84" i="6"/>
  <c r="J83" i="6"/>
  <c r="J81" i="6"/>
  <c r="J80" i="6"/>
  <c r="I82" i="6"/>
  <c r="I91" i="6" s="1"/>
  <c r="J59" i="6"/>
  <c r="J58" i="6"/>
  <c r="J57" i="6"/>
  <c r="J56" i="6"/>
  <c r="J55" i="6"/>
  <c r="J54" i="6"/>
  <c r="J53" i="6"/>
  <c r="J52" i="6"/>
  <c r="J51" i="6"/>
  <c r="J50" i="6"/>
  <c r="J48" i="6"/>
  <c r="J47" i="6"/>
  <c r="I49" i="6"/>
  <c r="I60" i="6" s="1"/>
  <c r="I110" i="6" l="1"/>
  <c r="I120" i="6" s="1"/>
  <c r="J119" i="6" l="1"/>
  <c r="J212" i="6" l="1"/>
  <c r="J211" i="6"/>
  <c r="J210" i="6"/>
  <c r="J209" i="6"/>
  <c r="J208" i="6"/>
  <c r="J207" i="6"/>
  <c r="J206" i="6"/>
  <c r="J204" i="6"/>
  <c r="J203" i="6"/>
  <c r="I139" i="6"/>
  <c r="I147" i="6" s="1"/>
  <c r="J146" i="6"/>
  <c r="J145" i="6" l="1"/>
  <c r="J144" i="6"/>
  <c r="J143" i="6"/>
  <c r="J142" i="6"/>
  <c r="J141" i="6"/>
  <c r="J140" i="6"/>
  <c r="J138" i="6"/>
  <c r="J137" i="6"/>
  <c r="C49" i="6"/>
  <c r="D49" i="6"/>
  <c r="E49" i="6"/>
  <c r="F49" i="6"/>
  <c r="G49" i="6"/>
  <c r="H49" i="6"/>
  <c r="C82" i="6"/>
  <c r="D82" i="6"/>
  <c r="E82" i="6"/>
  <c r="F82" i="6"/>
  <c r="F91" i="6" s="1"/>
  <c r="G82" i="6"/>
  <c r="H82" i="6"/>
  <c r="J108" i="6"/>
  <c r="J109" i="6"/>
  <c r="C110" i="6"/>
  <c r="C120" i="6" s="1"/>
  <c r="D110" i="6"/>
  <c r="D120" i="6" s="1"/>
  <c r="E110" i="6"/>
  <c r="E120" i="6" s="1"/>
  <c r="F110" i="6"/>
  <c r="F120" i="6" s="1"/>
  <c r="G110" i="6"/>
  <c r="G120" i="6" s="1"/>
  <c r="H110" i="6"/>
  <c r="H120" i="6" s="1"/>
  <c r="J111" i="6"/>
  <c r="J112" i="6"/>
  <c r="J113" i="6"/>
  <c r="J114" i="6"/>
  <c r="J115" i="6"/>
  <c r="J116" i="6"/>
  <c r="J117" i="6"/>
  <c r="C139" i="6"/>
  <c r="D139" i="6"/>
  <c r="D147" i="6" s="1"/>
  <c r="E139" i="6"/>
  <c r="E147" i="6" s="1"/>
  <c r="F139" i="6"/>
  <c r="F147" i="6" s="1"/>
  <c r="G139" i="6"/>
  <c r="G147" i="6" s="1"/>
  <c r="H139" i="6"/>
  <c r="H147" i="6" s="1"/>
  <c r="D19" i="6"/>
  <c r="D29" i="6" s="1"/>
  <c r="E19" i="6"/>
  <c r="F19" i="6"/>
  <c r="F29" i="6" s="1"/>
  <c r="G19" i="6"/>
  <c r="G29" i="6" s="1"/>
  <c r="H19" i="6"/>
  <c r="H29" i="6" s="1"/>
  <c r="I19" i="6"/>
  <c r="I29" i="6" s="1"/>
  <c r="J49" i="6" l="1"/>
  <c r="J120" i="6"/>
  <c r="J82" i="6"/>
  <c r="E29" i="6"/>
  <c r="J110" i="6"/>
  <c r="J139" i="6"/>
  <c r="C147" i="6"/>
  <c r="J147" i="6" s="1"/>
  <c r="H31" i="4"/>
  <c r="H30" i="4"/>
  <c r="H28" i="4"/>
  <c r="H27" i="4"/>
  <c r="H26" i="4"/>
  <c r="H25" i="4"/>
  <c r="H24" i="4"/>
  <c r="H23" i="4"/>
  <c r="H22" i="4"/>
  <c r="H21" i="4"/>
  <c r="H19" i="4"/>
  <c r="H18" i="4"/>
  <c r="F60" i="3" l="1"/>
  <c r="D60" i="3"/>
  <c r="C60" i="3"/>
  <c r="C47" i="3"/>
  <c r="F47" i="3"/>
  <c r="E47" i="3" l="1"/>
  <c r="E33" i="2" l="1"/>
  <c r="E42" i="2" s="1"/>
  <c r="H64" i="2"/>
  <c r="H61" i="2"/>
  <c r="H60" i="2"/>
  <c r="H56" i="2"/>
  <c r="H57" i="2"/>
  <c r="H58" i="2"/>
  <c r="H59" i="2"/>
  <c r="H55" i="2"/>
  <c r="H51" i="2"/>
  <c r="H54" i="2"/>
  <c r="G18" i="2"/>
  <c r="G27" i="2" s="1"/>
  <c r="F18" i="2"/>
  <c r="F27" i="2" s="1"/>
  <c r="E18" i="2"/>
  <c r="E27" i="2" s="1"/>
  <c r="D18" i="2"/>
  <c r="D27" i="2" s="1"/>
  <c r="C18" i="2"/>
  <c r="C27" i="2" s="1"/>
  <c r="H53" i="2" l="1"/>
  <c r="E8" i="2"/>
  <c r="D11" i="1" l="1"/>
  <c r="E11" i="1"/>
  <c r="G63" i="3" l="1"/>
  <c r="G61" i="3"/>
  <c r="G60" i="3"/>
  <c r="G59" i="3"/>
  <c r="G58" i="3"/>
  <c r="G57" i="3"/>
  <c r="G56" i="3"/>
  <c r="G55" i="3"/>
  <c r="G53" i="3"/>
  <c r="G52" i="3"/>
  <c r="F11" i="21" l="1"/>
  <c r="E11" i="21"/>
  <c r="D11" i="21"/>
  <c r="F7" i="21"/>
  <c r="E7" i="21"/>
  <c r="D7" i="21"/>
  <c r="F21" i="20"/>
  <c r="E21" i="20"/>
  <c r="D21" i="20"/>
  <c r="F10" i="20"/>
  <c r="F7" i="20" s="1"/>
  <c r="E10" i="20"/>
  <c r="E7" i="20" s="1"/>
  <c r="D10" i="20"/>
  <c r="D7" i="20" s="1"/>
  <c r="G34" i="19"/>
  <c r="F34" i="19"/>
  <c r="E34" i="19"/>
  <c r="G28" i="19"/>
  <c r="F28" i="19"/>
  <c r="E28" i="19"/>
  <c r="G24" i="19"/>
  <c r="F24" i="19"/>
  <c r="E24" i="19"/>
  <c r="G19" i="19"/>
  <c r="F19" i="19"/>
  <c r="E19" i="19"/>
  <c r="G16" i="19"/>
  <c r="F16" i="19"/>
  <c r="E16" i="19"/>
  <c r="G13" i="19"/>
  <c r="F13" i="19"/>
  <c r="E13" i="19"/>
  <c r="G8" i="19"/>
  <c r="F8" i="19"/>
  <c r="E8" i="19"/>
  <c r="G46" i="18"/>
  <c r="F46" i="18"/>
  <c r="E46" i="18"/>
  <c r="G36" i="18"/>
  <c r="F36" i="18"/>
  <c r="E36" i="18"/>
  <c r="G31" i="18"/>
  <c r="F31" i="18"/>
  <c r="E31" i="18"/>
  <c r="G26" i="18"/>
  <c r="F26" i="18"/>
  <c r="E26" i="18"/>
  <c r="G23" i="18"/>
  <c r="F23" i="18"/>
  <c r="E23" i="18"/>
  <c r="G18" i="18"/>
  <c r="F18" i="18"/>
  <c r="E18" i="18"/>
  <c r="G15" i="18"/>
  <c r="F15" i="18"/>
  <c r="E15" i="18"/>
  <c r="G13" i="18"/>
  <c r="F13" i="18"/>
  <c r="E13" i="18"/>
  <c r="G7" i="18"/>
  <c r="F7" i="18"/>
  <c r="E7" i="18"/>
  <c r="H18" i="17"/>
  <c r="H14" i="17"/>
  <c r="D23" i="15"/>
  <c r="C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13" i="8"/>
  <c r="F42" i="7"/>
  <c r="C348" i="6"/>
  <c r="C357" i="6" s="1"/>
  <c r="E343" i="6"/>
  <c r="C325" i="6"/>
  <c r="C333" i="6" s="1"/>
  <c r="E320" i="6"/>
  <c r="J241" i="6"/>
  <c r="J239" i="6"/>
  <c r="J238" i="6"/>
  <c r="J237" i="6"/>
  <c r="J236" i="6"/>
  <c r="J234" i="6"/>
  <c r="J233" i="6"/>
  <c r="J232" i="6"/>
  <c r="H231" i="6"/>
  <c r="H242" i="6" s="1"/>
  <c r="G231" i="6"/>
  <c r="G242" i="6" s="1"/>
  <c r="F231" i="6"/>
  <c r="F242" i="6" s="1"/>
  <c r="E231" i="6"/>
  <c r="E242" i="6" s="1"/>
  <c r="D231" i="6"/>
  <c r="D242" i="6" s="1"/>
  <c r="C231" i="6"/>
  <c r="C242" i="6" s="1"/>
  <c r="J230" i="6"/>
  <c r="J229" i="6"/>
  <c r="E226" i="6"/>
  <c r="H205" i="6"/>
  <c r="H214" i="6" s="1"/>
  <c r="G205" i="6"/>
  <c r="G214" i="6" s="1"/>
  <c r="F205" i="6"/>
  <c r="F214" i="6" s="1"/>
  <c r="E205" i="6"/>
  <c r="E214" i="6" s="1"/>
  <c r="D205" i="6"/>
  <c r="C205" i="6"/>
  <c r="C214" i="6" s="1"/>
  <c r="E200" i="6"/>
  <c r="H165" i="6"/>
  <c r="H174" i="6" s="1"/>
  <c r="G165" i="6"/>
  <c r="G174" i="6" s="1"/>
  <c r="F165" i="6"/>
  <c r="F174" i="6" s="1"/>
  <c r="E165" i="6"/>
  <c r="E174" i="6" s="1"/>
  <c r="D165" i="6"/>
  <c r="D174" i="6" s="1"/>
  <c r="C165" i="6"/>
  <c r="E160" i="6"/>
  <c r="E134" i="6"/>
  <c r="E105" i="6"/>
  <c r="H91" i="6"/>
  <c r="G91" i="6"/>
  <c r="E91" i="6"/>
  <c r="C91" i="6"/>
  <c r="E77" i="6"/>
  <c r="H60" i="6"/>
  <c r="G60" i="6"/>
  <c r="F60" i="6"/>
  <c r="E60" i="6"/>
  <c r="D60" i="6"/>
  <c r="E44" i="6"/>
  <c r="C19" i="6"/>
  <c r="J19" i="6" s="1"/>
  <c r="E14" i="6"/>
  <c r="G32" i="4"/>
  <c r="F32" i="4"/>
  <c r="E32" i="4"/>
  <c r="D32" i="4"/>
  <c r="C32" i="4"/>
  <c r="G20" i="4"/>
  <c r="G29" i="4" s="1"/>
  <c r="F20" i="4"/>
  <c r="F29" i="4" s="1"/>
  <c r="E20" i="4"/>
  <c r="E29" i="4" s="1"/>
  <c r="D20" i="4"/>
  <c r="D29" i="4" s="1"/>
  <c r="C20" i="4"/>
  <c r="E13" i="4"/>
  <c r="F54" i="3"/>
  <c r="F62" i="3" s="1"/>
  <c r="E54" i="3"/>
  <c r="E62" i="3" s="1"/>
  <c r="D54" i="3"/>
  <c r="D62" i="3" s="1"/>
  <c r="C54" i="3"/>
  <c r="C62" i="3" s="1"/>
  <c r="F41" i="3"/>
  <c r="F49" i="3" s="1"/>
  <c r="E41" i="3"/>
  <c r="E49" i="3" s="1"/>
  <c r="D41" i="3"/>
  <c r="D49" i="3" s="1"/>
  <c r="C41" i="3"/>
  <c r="E26" i="3"/>
  <c r="E22" i="3"/>
  <c r="E19" i="3"/>
  <c r="E17" i="3"/>
  <c r="E15" i="3"/>
  <c r="E11" i="3"/>
  <c r="E6" i="3"/>
  <c r="G53" i="2"/>
  <c r="G63" i="2" s="1"/>
  <c r="F53" i="2"/>
  <c r="F63" i="2" s="1"/>
  <c r="E53" i="2"/>
  <c r="E63" i="2" s="1"/>
  <c r="D53" i="2"/>
  <c r="D63" i="2" s="1"/>
  <c r="C53" i="2"/>
  <c r="C63" i="2" s="1"/>
  <c r="F33" i="2"/>
  <c r="F42" i="2" s="1"/>
  <c r="D33" i="2"/>
  <c r="D42" i="2" s="1"/>
  <c r="C33" i="2"/>
  <c r="C42" i="2" s="1"/>
  <c r="E4" i="2"/>
  <c r="K24" i="1"/>
  <c r="J24" i="1"/>
  <c r="I24" i="1"/>
  <c r="H24" i="1"/>
  <c r="G24" i="1"/>
  <c r="F24" i="1"/>
  <c r="E24" i="1"/>
  <c r="D24" i="1"/>
  <c r="L23" i="1"/>
  <c r="L22" i="1"/>
  <c r="L21" i="1"/>
  <c r="L20" i="1"/>
  <c r="L19" i="1"/>
  <c r="L18" i="1"/>
  <c r="L17" i="1"/>
  <c r="L16" i="1"/>
  <c r="L15" i="1"/>
  <c r="K14" i="1"/>
  <c r="J14" i="1"/>
  <c r="I14" i="1"/>
  <c r="H14" i="1"/>
  <c r="G14" i="1"/>
  <c r="F14" i="1"/>
  <c r="L13" i="1"/>
  <c r="L12" i="1"/>
  <c r="E14" i="1"/>
  <c r="L10" i="1"/>
  <c r="L9" i="1"/>
  <c r="L8" i="1"/>
  <c r="L7" i="1"/>
  <c r="L6" i="1"/>
  <c r="H20" i="4" l="1"/>
  <c r="H32" i="4"/>
  <c r="H63" i="2"/>
  <c r="J165" i="6"/>
  <c r="J242" i="6"/>
  <c r="F7" i="19"/>
  <c r="G7" i="19"/>
  <c r="E6" i="18"/>
  <c r="D214" i="6"/>
  <c r="J214" i="6" s="1"/>
  <c r="J205" i="6"/>
  <c r="H52" i="2"/>
  <c r="L11" i="1"/>
  <c r="D26" i="25"/>
  <c r="D13" i="25"/>
  <c r="E23" i="15"/>
  <c r="F6" i="18"/>
  <c r="L24" i="1"/>
  <c r="C49" i="3"/>
  <c r="G62" i="3" s="1"/>
  <c r="G54" i="3"/>
  <c r="E7" i="19"/>
  <c r="E5" i="3"/>
  <c r="G6" i="18"/>
  <c r="D10" i="25"/>
  <c r="D6" i="25" s="1"/>
  <c r="C60" i="6"/>
  <c r="J60" i="6" s="1"/>
  <c r="C29" i="6"/>
  <c r="J29" i="6" s="1"/>
  <c r="D91" i="6"/>
  <c r="J91" i="6" s="1"/>
  <c r="C29" i="4"/>
  <c r="H29" i="4" s="1"/>
  <c r="C174" i="6"/>
  <c r="J174" i="6" s="1"/>
  <c r="D14" i="1"/>
  <c r="L14" i="1" s="1"/>
  <c r="J231" i="6"/>
  <c r="D18" i="25" l="1"/>
  <c r="D27" i="25" s="1"/>
  <c r="D17" i="25"/>
</calcChain>
</file>

<file path=xl/sharedStrings.xml><?xml version="1.0" encoding="utf-8"?>
<sst xmlns="http://schemas.openxmlformats.org/spreadsheetml/2006/main" count="1633" uniqueCount="1037">
  <si>
    <t>Ukazovateľ</t>
  </si>
  <si>
    <t>Mesto Trenčín</t>
  </si>
  <si>
    <t>MHSL</t>
  </si>
  <si>
    <t>SSmT</t>
  </si>
  <si>
    <t>ŠZmT</t>
  </si>
  <si>
    <t>MŠ Šafárikova</t>
  </si>
  <si>
    <t>Základné školy</t>
  </si>
  <si>
    <t>Centrum voľného času</t>
  </si>
  <si>
    <t>Základná umelecká škola</t>
  </si>
  <si>
    <t>SPOLU</t>
  </si>
  <si>
    <t>1.</t>
  </si>
  <si>
    <t>Dlhodobý nehmotný majetok</t>
  </si>
  <si>
    <t>2.</t>
  </si>
  <si>
    <t>Dlhodobý hmotný majetok</t>
  </si>
  <si>
    <t>3.</t>
  </si>
  <si>
    <t>Dlhodobý finančný majetok</t>
  </si>
  <si>
    <t>4.</t>
  </si>
  <si>
    <t>Zásoby</t>
  </si>
  <si>
    <t>5.</t>
  </si>
  <si>
    <t>Zúčtovanie medzi subjektami ver.správy</t>
  </si>
  <si>
    <t>6.</t>
  </si>
  <si>
    <t>Pohľadávky</t>
  </si>
  <si>
    <t>7.</t>
  </si>
  <si>
    <t>Finančný majetok</t>
  </si>
  <si>
    <t>8.</t>
  </si>
  <si>
    <t>Náklady budúcich období</t>
  </si>
  <si>
    <t>A K T Í V A  celkom</t>
  </si>
  <si>
    <t>9.</t>
  </si>
  <si>
    <t>Oceňovacie rozdiely</t>
  </si>
  <si>
    <t>10.</t>
  </si>
  <si>
    <t>Výsledok hospodárenia (výnosy - náklady)</t>
  </si>
  <si>
    <t>11.</t>
  </si>
  <si>
    <t>Rezervy</t>
  </si>
  <si>
    <t>12.</t>
  </si>
  <si>
    <t>13.</t>
  </si>
  <si>
    <t>Dlhodobé záväzky</t>
  </si>
  <si>
    <t>14.</t>
  </si>
  <si>
    <t>Krátkodobé záväzky</t>
  </si>
  <si>
    <t>15.</t>
  </si>
  <si>
    <t>Výdavky budúcich období</t>
  </si>
  <si>
    <t>16.</t>
  </si>
  <si>
    <t>Výnosy budúcich období</t>
  </si>
  <si>
    <t>17.</t>
  </si>
  <si>
    <t>Bankové úvery a ostatné prijaté výpomoci</t>
  </si>
  <si>
    <t>P A S Í V A   celkom</t>
  </si>
  <si>
    <t>Príloha č.1</t>
  </si>
  <si>
    <t>Mestské hospodárstvo a správa lesov m.r.o.</t>
  </si>
  <si>
    <t>Bežné a kapitálové  príjmy</t>
  </si>
  <si>
    <t>210: Príjmy z podnikania a vlastníctva majetku</t>
  </si>
  <si>
    <t>222: Pokuty, penále a iné sankcie</t>
  </si>
  <si>
    <t>223 001: Za predaj výrobkov, tovarov a služieb</t>
  </si>
  <si>
    <t>292 006: Z náhrad z poistného plnenia</t>
  </si>
  <si>
    <t>292 012: Z dobropisov</t>
  </si>
  <si>
    <t>292 017: Vratky</t>
  </si>
  <si>
    <t>292 027: Iné</t>
  </si>
  <si>
    <t>456 002: Prijaté finančné zábezpeky</t>
  </si>
  <si>
    <t>Výdavky</t>
  </si>
  <si>
    <t>Program 4:  Služby občanom Podprogram 4: Verejné toalety</t>
  </si>
  <si>
    <t>Program 4:  Služby občanom Podprogram 5: Prevádzka mestských trhovísk</t>
  </si>
  <si>
    <t>Program 4:  Služby občanom Podprogram 7:  Miestne média</t>
  </si>
  <si>
    <t>Program 5: Bezpečnosť Podprogram 2: Verejné osvetlenie</t>
  </si>
  <si>
    <t>Program 6: Doprava Podprogram 2: Správa a údržba pozemných komunikácií</t>
  </si>
  <si>
    <t>610: Mzdy, platy, a OOV</t>
  </si>
  <si>
    <t xml:space="preserve">620: Poistné </t>
  </si>
  <si>
    <t>630: Tovary a služby</t>
  </si>
  <si>
    <t>632: Energie, voda, komun.</t>
  </si>
  <si>
    <t>633: Materiál</t>
  </si>
  <si>
    <t>634: Dopravné</t>
  </si>
  <si>
    <t>635: Rutinná a štand.údržba</t>
  </si>
  <si>
    <t>636: Nájomné</t>
  </si>
  <si>
    <t>637: Služby</t>
  </si>
  <si>
    <t>640: Transfery</t>
  </si>
  <si>
    <t>Bežné výdavky spolu</t>
  </si>
  <si>
    <t>Kapitálové výdavky spolu</t>
  </si>
  <si>
    <t>Program 8: Šport a mládež Podprogram 3 Prvok: 3 Zimný štadión</t>
  </si>
  <si>
    <t>Program 8: Šport a mládež Podprogram 4: Mobiliár mesta a detské ihriská</t>
  </si>
  <si>
    <t>Program 8: Šport a mládež Podprogram 3 Prvok 5: Mobilná ľadová plocha</t>
  </si>
  <si>
    <t xml:space="preserve">Program 10: Životné prostredie  Podprogram 1: Verejná zeleň </t>
  </si>
  <si>
    <t>Program 10: Životné prostredie Podprogram 5: Fontány</t>
  </si>
  <si>
    <t>Program 10: Životné prostredie Podprogram 6: Podporná činnosť</t>
  </si>
  <si>
    <t>620: Poistné</t>
  </si>
  <si>
    <t>631: Cestovné náhrady</t>
  </si>
  <si>
    <t>Program 10: Životné prostredie Podprogram 3: Ochrana prostredia pre život</t>
  </si>
  <si>
    <t>Spolu výdavky MHSL m.r.o.</t>
  </si>
  <si>
    <t>819: Výdavkové finančné operácie</t>
  </si>
  <si>
    <t>Príloha č.2</t>
  </si>
  <si>
    <t>Sociálne služby mesta Trenčín m.r.o.</t>
  </si>
  <si>
    <t>Príjmy spolu:</t>
  </si>
  <si>
    <t>Detské jasle</t>
  </si>
  <si>
    <t>223 002: Za jasle</t>
  </si>
  <si>
    <t>223 003: Za stravné detské jasle</t>
  </si>
  <si>
    <t>223 003: Za stravné materská škola</t>
  </si>
  <si>
    <t>223 003: Za stravné zamestnanci</t>
  </si>
  <si>
    <t>Zariadenie opatrovateľskej služby</t>
  </si>
  <si>
    <t>223 001: ZOS 24 hod.starostlivosť</t>
  </si>
  <si>
    <t>223 001: Celoročný pobyt</t>
  </si>
  <si>
    <t>212 003: Z prenajatých budov, priestorov</t>
  </si>
  <si>
    <t>Opatrovateľská služba</t>
  </si>
  <si>
    <t>223 001: Opatrovateľská služba - staroba,invalitida,rozvoz stravy</t>
  </si>
  <si>
    <t>Prepravná služba</t>
  </si>
  <si>
    <t>223 001 - Prepravná služba</t>
  </si>
  <si>
    <t>Krízové centrum</t>
  </si>
  <si>
    <t>212 003 - Prenájom</t>
  </si>
  <si>
    <t>223 001 - Krízové centrum</t>
  </si>
  <si>
    <t>Zariadenie pre seniorov</t>
  </si>
  <si>
    <t>223 001: Ubytovanie a zaopatrenie</t>
  </si>
  <si>
    <t>223 001: Stravovanie</t>
  </si>
  <si>
    <t>212 003: Príjmy z prenajatých budov, priestorov (ZPS)</t>
  </si>
  <si>
    <t>Ostatné príjmy</t>
  </si>
  <si>
    <t>223 004: Prebytočný materiál</t>
  </si>
  <si>
    <t>292 017: vratky</t>
  </si>
  <si>
    <t>292 012: dobropisy</t>
  </si>
  <si>
    <t>292 019: príjmy z refundácie</t>
  </si>
  <si>
    <t>311: dary</t>
  </si>
  <si>
    <t>453: prostriedky z minulých rokov</t>
  </si>
  <si>
    <t>Program 11: Sociálne služby Podprogram 1: Detské jasle</t>
  </si>
  <si>
    <t>Program 11: Sociálne služby Podprogram 4: Nocľaháreň</t>
  </si>
  <si>
    <t>Program 11: Sociálne služby Podprogram 4: Nízkoprahové denné centrum</t>
  </si>
  <si>
    <t>Program 11: Sociálne služby Podprogram 5 prvok 2:  Zariadenie pre seniorov</t>
  </si>
  <si>
    <t>631: Cestovné</t>
  </si>
  <si>
    <t xml:space="preserve">Bežné výdavky </t>
  </si>
  <si>
    <t>Program 11: Sociálne služby Podprogram 6: Zariadenie opatrovateľskej služby</t>
  </si>
  <si>
    <t>Program 11: Sociálne služby Podprogram 7: Terénna opatrovateľská služba</t>
  </si>
  <si>
    <t>Program 11: Sociálne služby Podprogram 10: Prepravná služba</t>
  </si>
  <si>
    <t>Program 11: Sociálne služby Podprogram 11: Manažment SSMT</t>
  </si>
  <si>
    <t>Spolu</t>
  </si>
  <si>
    <t xml:space="preserve">Kapitálové výdavky </t>
  </si>
  <si>
    <t>Príloha č.3</t>
  </si>
  <si>
    <t>Školské zariadenia mesta Trenčín m.r.o.</t>
  </si>
  <si>
    <t>Príjmy</t>
  </si>
  <si>
    <t>212 003: Príjmy z prenajatých budov, priestorov a objektov</t>
  </si>
  <si>
    <t>223 001: za predaj výrobkov, tovarov a služieb</t>
  </si>
  <si>
    <t>223 002: Poplatky za jasle, MŠ a školské kluby detí</t>
  </si>
  <si>
    <t>223 003: Za stravné</t>
  </si>
  <si>
    <t>292 019: Z refundácie</t>
  </si>
  <si>
    <t>453: Prostriedky z predchádzajúcich rokov</t>
  </si>
  <si>
    <t>Program 7: Vzdelávanie Podprogram 1: Materské školy</t>
  </si>
  <si>
    <t>Program 7: Vzdelávanie Podprogram 2: Základné školy</t>
  </si>
  <si>
    <t>Program 7: Vzdelávanie Podprogram 3:  Voľno časové vzdelávanie</t>
  </si>
  <si>
    <t>Program 7: Vzdelávanie Podprogram 4: Školské jedálne</t>
  </si>
  <si>
    <t>Program 7: Vzdelávanie Podprogram 5: Politika vzdelávania</t>
  </si>
  <si>
    <t>713: Nákup strojov, prístrojov...</t>
  </si>
  <si>
    <t>717: Realizácia stavieb</t>
  </si>
  <si>
    <t>Príloha č.4</t>
  </si>
  <si>
    <t xml:space="preserve">V ý d a v k y    m a t e r s k ý ch  š k ô l </t>
  </si>
  <si>
    <t>09.1.1.1. Predškolská výchova s bežnou starostlivosťou</t>
  </si>
  <si>
    <t>Materská škola</t>
  </si>
  <si>
    <t>Počet detí</t>
  </si>
  <si>
    <t>Príjem</t>
  </si>
  <si>
    <t>MŠ Švermova</t>
  </si>
  <si>
    <t>MŠ Legionárska</t>
  </si>
  <si>
    <t>MŠ Považská</t>
  </si>
  <si>
    <t>MŠ M.Turkovej</t>
  </si>
  <si>
    <t>MŠ Soblahovská</t>
  </si>
  <si>
    <t>MŠ Šmidkeho</t>
  </si>
  <si>
    <t>MŠ J.Halašu</t>
  </si>
  <si>
    <t>MŠ Stromova</t>
  </si>
  <si>
    <t>MŠ Opatovská</t>
  </si>
  <si>
    <t>MŠ Kubranská</t>
  </si>
  <si>
    <t>MŠ Medňanského</t>
  </si>
  <si>
    <t>MŠ Pri Parku</t>
  </si>
  <si>
    <t>MŠ Niva</t>
  </si>
  <si>
    <t>MŠ 28. októbra</t>
  </si>
  <si>
    <t>MŠ Na dolinách</t>
  </si>
  <si>
    <t>S P O L U:</t>
  </si>
  <si>
    <t>09.6.0.1 Školské stravovanie v predškolských zariadeniach a základných školách</t>
  </si>
  <si>
    <t>Spolu výdavky materských škôl (predškolská výchova + stravovanie)</t>
  </si>
  <si>
    <t>Základná škola Novomeského</t>
  </si>
  <si>
    <t>Príloha č.5</t>
  </si>
  <si>
    <t>212 003: Z prenajatých budov, priestorov a objektov</t>
  </si>
  <si>
    <t>223 001: Réžia - cudzí stravníci</t>
  </si>
  <si>
    <t>223 002: Za jasle, materské školy a školské kluby detí</t>
  </si>
  <si>
    <t>292 017: Z vratiek</t>
  </si>
  <si>
    <t>311: Granty</t>
  </si>
  <si>
    <t>312: Transfery v rámci verejnej správy</t>
  </si>
  <si>
    <t>09.6.0.2. Školské stravovanie I.stupeň</t>
  </si>
  <si>
    <t>09.6.0.3. Školské stravovanie II.stupeň</t>
  </si>
  <si>
    <t>09.5.0. Zar. pre záujmové vzdelávanie</t>
  </si>
  <si>
    <t>Základná škola Kubranská</t>
  </si>
  <si>
    <t>321: Granty</t>
  </si>
  <si>
    <t>713: Nákup strojov...</t>
  </si>
  <si>
    <t>717: Rekonštrukcie</t>
  </si>
  <si>
    <t>Základná škola Na dolinách</t>
  </si>
  <si>
    <t>Základná škola Bezruča</t>
  </si>
  <si>
    <t>Základná škola Hodžova</t>
  </si>
  <si>
    <t>636: Prenájom</t>
  </si>
  <si>
    <t>Základná škola Východná</t>
  </si>
  <si>
    <t>292 012: z dobropisov</t>
  </si>
  <si>
    <t>636: Nájom</t>
  </si>
  <si>
    <t>Základná škola Dlhé Hony</t>
  </si>
  <si>
    <t>311: Dary, sponzorské</t>
  </si>
  <si>
    <t>Základná škola Veľkomoravská</t>
  </si>
  <si>
    <t>Základné školy spolu</t>
  </si>
  <si>
    <t>453: Prostriedky z minulých rokov</t>
  </si>
  <si>
    <t>713: Nákup strojov, prístrojov</t>
  </si>
  <si>
    <t>Základná umelecká škola Karola Pádivého m.r.o.</t>
  </si>
  <si>
    <t>223 002: Za školy a školské zariadenia</t>
  </si>
  <si>
    <t>09.5.0. Zar.pre záujmové vzdelávanie</t>
  </si>
  <si>
    <t>223 002: poplatky rodičov za letné tábory</t>
  </si>
  <si>
    <t>Príloha č.6</t>
  </si>
  <si>
    <t>P.č.</t>
  </si>
  <si>
    <t>Poskytovateľ dotácie</t>
  </si>
  <si>
    <t>Druh dotácie</t>
  </si>
  <si>
    <t>Výška dotácie v EUR</t>
  </si>
  <si>
    <t>Dotácie na školstvo</t>
  </si>
  <si>
    <t>Ostatné dotácie</t>
  </si>
  <si>
    <t xml:space="preserve"> </t>
  </si>
  <si>
    <t>Príloha č.8</t>
  </si>
  <si>
    <t>Príjemca dotácie činnosť</t>
  </si>
  <si>
    <t>Výška dotácie</t>
  </si>
  <si>
    <t>Dotácie pre mládež</t>
  </si>
  <si>
    <t>Dotácie na výnimočné akcie</t>
  </si>
  <si>
    <t>Príjemca dotácie</t>
  </si>
  <si>
    <t>Účel dotácie</t>
  </si>
  <si>
    <t>Príloha č.9</t>
  </si>
  <si>
    <t xml:space="preserve">Príjemca dotácie </t>
  </si>
  <si>
    <t>Príloha č.10</t>
  </si>
  <si>
    <t>Príloha č.11</t>
  </si>
  <si>
    <t>Príjemca dotácie a názov projektu</t>
  </si>
  <si>
    <t>Príloha č.12</t>
  </si>
  <si>
    <t>Príloha č.13</t>
  </si>
  <si>
    <t>k 31.12.2018</t>
  </si>
  <si>
    <t>+ nárast</t>
  </si>
  <si>
    <t>- pokles</t>
  </si>
  <si>
    <t>Daň z nehnuteľností</t>
  </si>
  <si>
    <t>Daň za psa</t>
  </si>
  <si>
    <t>Daň z predaja alk. nápojov a tabak. výrobkov</t>
  </si>
  <si>
    <t>Daň z reklamy</t>
  </si>
  <si>
    <t xml:space="preserve">Daň za užívanie verejného priestranstva </t>
  </si>
  <si>
    <t>Daň zo vstupného</t>
  </si>
  <si>
    <t>Daň za ubytovanie</t>
  </si>
  <si>
    <t>Miestny poplatok za KO a DSO</t>
  </si>
  <si>
    <t>Nájomné zmluvy</t>
  </si>
  <si>
    <t>Z predaja a nájmu bytov a nebyt. priestorov</t>
  </si>
  <si>
    <t>Pokuty</t>
  </si>
  <si>
    <t>Za znečisťovanie ovzdušia</t>
  </si>
  <si>
    <t xml:space="preserve">Z lotérií a iných podobných hier </t>
  </si>
  <si>
    <t>Neuhradené faktúry</t>
  </si>
  <si>
    <t>Príjmy budúcich období</t>
  </si>
  <si>
    <t>Ostatné pohľadávky</t>
  </si>
  <si>
    <t>Príloha č. 14</t>
  </si>
  <si>
    <t>Úvery</t>
  </si>
  <si>
    <t>Poskytovateľ úveru</t>
  </si>
  <si>
    <t xml:space="preserve">Zmluva č. </t>
  </si>
  <si>
    <t>Výška poskytnutého úveru</t>
  </si>
  <si>
    <t>1.splátka úveru</t>
  </si>
  <si>
    <t>Splátky</t>
  </si>
  <si>
    <t>Splátky spolu od 1.splátky úveru</t>
  </si>
  <si>
    <t>Splatnosť úveru</t>
  </si>
  <si>
    <t xml:space="preserve">Zostatok úveru </t>
  </si>
  <si>
    <t>zo dňa</t>
  </si>
  <si>
    <t>v EUR</t>
  </si>
  <si>
    <t>Štátny fond rozvoja bývania, 61 b.j.</t>
  </si>
  <si>
    <t>309/308/2002</t>
  </si>
  <si>
    <t>mesačne vrátane úroku</t>
  </si>
  <si>
    <t xml:space="preserve">Štátny fond rozvoja bývania 48 b.j. </t>
  </si>
  <si>
    <t>300/149/2017</t>
  </si>
  <si>
    <t>jún 2018</t>
  </si>
  <si>
    <t>vždy do 15.na účte</t>
  </si>
  <si>
    <t>2048</t>
  </si>
  <si>
    <t>trvalý príkaz v čsob</t>
  </si>
  <si>
    <t>Štátny fond rozvoja bývania 26 b.j.</t>
  </si>
  <si>
    <t>300/202/2018</t>
  </si>
  <si>
    <t>Slovenská sporiteľňa a.s.</t>
  </si>
  <si>
    <t>1186/CC/16</t>
  </si>
  <si>
    <t>31.1.2014</t>
  </si>
  <si>
    <t>mesačne: 10 530 €</t>
  </si>
  <si>
    <t>dodatok č.1,2,3</t>
  </si>
  <si>
    <t>posledná: 10 110 €</t>
  </si>
  <si>
    <t>1190/CC/16</t>
  </si>
  <si>
    <t>31.1.2017</t>
  </si>
  <si>
    <t>mesačne: 8 334 €</t>
  </si>
  <si>
    <t>posledná: 8 254 €</t>
  </si>
  <si>
    <t>335/CC/18</t>
  </si>
  <si>
    <t>31.1.2019</t>
  </si>
  <si>
    <t>mesačne: 26.750 €</t>
  </si>
  <si>
    <t>posledná: 26.750 €</t>
  </si>
  <si>
    <t>Československá obchodná banka a.s.</t>
  </si>
  <si>
    <t>0499/15/80226</t>
  </si>
  <si>
    <t>mesačne 20.012,24 €</t>
  </si>
  <si>
    <t>posledná 20.012,24 €</t>
  </si>
  <si>
    <t>0840/14/80226</t>
  </si>
  <si>
    <t>mesačné: 5.681,33 €</t>
  </si>
  <si>
    <t>posledná: 5.681,73 €</t>
  </si>
  <si>
    <t xml:space="preserve">Tatrabanka a.s. </t>
  </si>
  <si>
    <t>S00912/2013</t>
  </si>
  <si>
    <t>mesačne: 12 500 €</t>
  </si>
  <si>
    <t>posledná: 12 500 €</t>
  </si>
  <si>
    <t>S01545/2014</t>
  </si>
  <si>
    <t>31.1.2015</t>
  </si>
  <si>
    <t>mesačne: 10 834 €</t>
  </si>
  <si>
    <t>posledná: 10 784 €</t>
  </si>
  <si>
    <t>S02531/2015</t>
  </si>
  <si>
    <t>29.1.2016</t>
  </si>
  <si>
    <t>mesačne: 15 000 €</t>
  </si>
  <si>
    <t>posledná 15 000 €</t>
  </si>
  <si>
    <t>Slovenská záručná a rozvojová banka</t>
  </si>
  <si>
    <t>282917-2017</t>
  </si>
  <si>
    <t>21.1.2018</t>
  </si>
  <si>
    <t>mesačne: 27 130 €</t>
  </si>
  <si>
    <t>posledná 27 180 €</t>
  </si>
  <si>
    <t>Dodávateľské investičné úvery</t>
  </si>
  <si>
    <t>SLSP a.s./Dohoda o reštr. - ERES</t>
  </si>
  <si>
    <t>dodatok 1,2,3</t>
  </si>
  <si>
    <t>31.1.2011</t>
  </si>
  <si>
    <t>vždy posl. v mesiaci</t>
  </si>
  <si>
    <t>19.8.2010</t>
  </si>
  <si>
    <t>mesačne 4 889,76 €</t>
  </si>
  <si>
    <t>SLSP a.s./Dohoda o reštr. - VOD-EKO</t>
  </si>
  <si>
    <t>7.7.2010</t>
  </si>
  <si>
    <t>mesačne 10 499,09 €</t>
  </si>
  <si>
    <t>Príloha č. 15</t>
  </si>
  <si>
    <t xml:space="preserve">Na konci roka 2013 bol prijatý nový zákon o rozpočtových pravidlách územnej samosprávy v znení neskorších predpisov, ktorý sprísnil hranice možného zadlženia samospráv. Do roku 2014 sa do dlhovej služby definovanej zákonom počítali len bankové úvery, od 1.1.2014 sa dlhová služba  rozšírila o investičné dodávateľské úvery. Maximálna možná výška dlhovej služby je stanovená na 60% bežných príjmov predchádzajúceho rozpočtového roka. </t>
  </si>
  <si>
    <t>počet obyvateľov k 31.12.</t>
  </si>
  <si>
    <t>Dlhová služba v tis. €</t>
  </si>
  <si>
    <t>Dlhová služba na 1 obyvateľa v €</t>
  </si>
  <si>
    <t>Bežné príjmy v tis. €</t>
  </si>
  <si>
    <t>Podiel dlhu na bežných príjmoch predchádzajúceho roka*</t>
  </si>
  <si>
    <t>Splátky úverov a úrokov v tis. €</t>
  </si>
  <si>
    <t>Bežné príjmy v tis. € znížené o prostriedky z iných rozpočtov (platí od 2017)</t>
  </si>
  <si>
    <t>Podiel splátok úverov a úrokov na bežných príjmoch predch.roka **</t>
  </si>
  <si>
    <t xml:space="preserve">a)   celková suma dlhu ku koncu rozpočtového roka neprekročí 60% skutočných bežných príjmov predchádzajúceho rozpočtového roka a </t>
  </si>
  <si>
    <r>
      <t>b) suma splátok návratných zdrojov financovania, vrátane úhrady výnosov a suma splátok záväzkov z investičných dodávateľských úverov</t>
    </r>
    <r>
      <rPr>
        <vertAlign val="superscript"/>
        <sz val="8"/>
        <color rgb="FF000000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 xml:space="preserve">neprekročí v príslušnom rozpočtovom roku 25% skutočných bežných príjmov predchádzajúceho rozpočtového roka znížených o prostriedky poskytnuté v príslušnom rozpočtovom roku obci alebo vyššiemu územnému celku z rozpočtu iného subjektu verejnej správy, prostriedky poskytnuté z Európskej únie a iné prostriedky zo zahraničia alebo prostriedky získané na základe osobitného predpisu. </t>
    </r>
  </si>
  <si>
    <t>Príloha č.16</t>
  </si>
  <si>
    <t>Schválený rozpočet</t>
  </si>
  <si>
    <t xml:space="preserve">Upravený rozpočet </t>
  </si>
  <si>
    <t>Plnenie</t>
  </si>
  <si>
    <t>Bežné výdavky</t>
  </si>
  <si>
    <t>01</t>
  </si>
  <si>
    <t>Všeobecné verejné služby</t>
  </si>
  <si>
    <t>01.1.1.</t>
  </si>
  <si>
    <t>Obce</t>
  </si>
  <si>
    <t>01.1.2.</t>
  </si>
  <si>
    <t>Finančná a rozpočtová oblasť</t>
  </si>
  <si>
    <t>01.7.0.</t>
  </si>
  <si>
    <t>Transakcia verejného dlhu</t>
  </si>
  <si>
    <t>01.3.3.</t>
  </si>
  <si>
    <t>Iné všeobecné služby</t>
  </si>
  <si>
    <t>01.6.0.</t>
  </si>
  <si>
    <t>Vš.verejné služby inde neklas.</t>
  </si>
  <si>
    <t>02</t>
  </si>
  <si>
    <t>Obrana</t>
  </si>
  <si>
    <t>02.2.0.</t>
  </si>
  <si>
    <t>Civilná obrana</t>
  </si>
  <si>
    <t>03</t>
  </si>
  <si>
    <t>Verejný poriadok</t>
  </si>
  <si>
    <t>03.1.0.</t>
  </si>
  <si>
    <t>Policajné služby</t>
  </si>
  <si>
    <t>03.2.0.</t>
  </si>
  <si>
    <t>Ochrana pred požiarmi</t>
  </si>
  <si>
    <t>04</t>
  </si>
  <si>
    <t>Ekonomická oblasť</t>
  </si>
  <si>
    <t>04.2.2.</t>
  </si>
  <si>
    <t>Lesníctvo</t>
  </si>
  <si>
    <t>04.4.3.</t>
  </si>
  <si>
    <t>Výstavba</t>
  </si>
  <si>
    <t>04.5.1.</t>
  </si>
  <si>
    <t>Správa a údržba ciest</t>
  </si>
  <si>
    <t>04.7.3.</t>
  </si>
  <si>
    <t>Cestovný ruch</t>
  </si>
  <si>
    <t>05</t>
  </si>
  <si>
    <t>Ochrana životného prostredia</t>
  </si>
  <si>
    <t>05.1.0.</t>
  </si>
  <si>
    <t>Nakladanie s odpadmi</t>
  </si>
  <si>
    <t>05.6.0.</t>
  </si>
  <si>
    <t>Ochrana ŽP inde neklasifikovaná</t>
  </si>
  <si>
    <t>06</t>
  </si>
  <si>
    <t>Bývanie a občianska vybavenosť</t>
  </si>
  <si>
    <t>06.1.0.</t>
  </si>
  <si>
    <t>Rozvoj bývania</t>
  </si>
  <si>
    <t>06.2.0.</t>
  </si>
  <si>
    <t>Rozvoj obcí</t>
  </si>
  <si>
    <t>06.4.0.</t>
  </si>
  <si>
    <t>Verejné osvetlenie</t>
  </si>
  <si>
    <t>06.6.0.</t>
  </si>
  <si>
    <t>08</t>
  </si>
  <si>
    <t>Rekreácia, kultúra, náboženstvo</t>
  </si>
  <si>
    <t>08.1.0.</t>
  </si>
  <si>
    <t>Rekreačné a športové služby</t>
  </si>
  <si>
    <t>08.2.0.</t>
  </si>
  <si>
    <t>Ostatné kultúrne služby</t>
  </si>
  <si>
    <t>08.3.0.</t>
  </si>
  <si>
    <t>TV vysielanie, hlásnik</t>
  </si>
  <si>
    <t>08.4.0.</t>
  </si>
  <si>
    <t>Obradné siene + náboženstvo</t>
  </si>
  <si>
    <t>09</t>
  </si>
  <si>
    <t>Vzdelávanie</t>
  </si>
  <si>
    <t>09.1.1.1.</t>
  </si>
  <si>
    <t>Predškolská výchova s bežnou starostl.</t>
  </si>
  <si>
    <t>09.1.2.1.</t>
  </si>
  <si>
    <t>Základné vzdelanie s bežnou starostl.</t>
  </si>
  <si>
    <t>09.2.1.1.</t>
  </si>
  <si>
    <t>Nižšie sekundárne vzdelávanie s bežnou starostlivosťou</t>
  </si>
  <si>
    <t>09.5.0.</t>
  </si>
  <si>
    <t>Vzdelávanie nedef.podľa úrovne</t>
  </si>
  <si>
    <t>09.6.0.</t>
  </si>
  <si>
    <t>Školské stravovanie</t>
  </si>
  <si>
    <t>09.6.0.1.</t>
  </si>
  <si>
    <t>09.6.0.2.</t>
  </si>
  <si>
    <t>Školské stravovanie I.stupeň</t>
  </si>
  <si>
    <t>09.6.0.3.</t>
  </si>
  <si>
    <t>Školské stravovanie II.stupeň</t>
  </si>
  <si>
    <t>09.8.0.</t>
  </si>
  <si>
    <t>Vzdelávanie inde neklasifikované</t>
  </si>
  <si>
    <t>Sociálne zabezpečenie</t>
  </si>
  <si>
    <t>10.1.2.</t>
  </si>
  <si>
    <t>Ďalšie sociálne služby -inval.a ŤZP</t>
  </si>
  <si>
    <t>10.2.0.</t>
  </si>
  <si>
    <t>Zariadenia sociálnych služieb</t>
  </si>
  <si>
    <t>10.4.0.</t>
  </si>
  <si>
    <t>Rodina a deti</t>
  </si>
  <si>
    <t>10.7.0.</t>
  </si>
  <si>
    <t>Soc.pomoc občanom v hm.a soc.núdzi</t>
  </si>
  <si>
    <t>10.9.0.</t>
  </si>
  <si>
    <t>Soc.zabezpečenie inde neklas.</t>
  </si>
  <si>
    <t>Príloha č.17</t>
  </si>
  <si>
    <t>Kapitálové výdavky</t>
  </si>
  <si>
    <t>Múzeá a galérie</t>
  </si>
  <si>
    <t>Obradné siene + nábož.</t>
  </si>
  <si>
    <t>09.6.0.1</t>
  </si>
  <si>
    <t>Školské stravovanie v predškolských zariadeniach a základných školách</t>
  </si>
  <si>
    <t>Primárne vzdelávanie</t>
  </si>
  <si>
    <t>10</t>
  </si>
  <si>
    <t>Sociálna pomoc občanom v hmotnej a soc.núdzi</t>
  </si>
  <si>
    <t>Invalidita a ťažké zdravotné postihnutie</t>
  </si>
  <si>
    <t>Príloha č.18</t>
  </si>
  <si>
    <t>Mzdy, platy, služobné príjmy  a ostatné osobné vyrovnania</t>
  </si>
  <si>
    <t xml:space="preserve">Poistné a príspevok do poisťovní </t>
  </si>
  <si>
    <t>Tovary a služby</t>
  </si>
  <si>
    <t>Cestovné náhrady</t>
  </si>
  <si>
    <t>Energie, voda a komunikácie</t>
  </si>
  <si>
    <t>Materiál</t>
  </si>
  <si>
    <t>Dopravné</t>
  </si>
  <si>
    <t>Rutinná a štandardná údržba</t>
  </si>
  <si>
    <t>Nájomné za nájom</t>
  </si>
  <si>
    <t>Služby</t>
  </si>
  <si>
    <t>Bežné transfery</t>
  </si>
  <si>
    <t>Splácanie úrokov</t>
  </si>
  <si>
    <t>Obstarávanie kapitálových aktív</t>
  </si>
  <si>
    <t>Nákup pozemkov a nehm.aktív</t>
  </si>
  <si>
    <t>Nákup budov, objektov alebo ich častí</t>
  </si>
  <si>
    <t>Nákup strojov, prístrojov, zariadení, techniky a náradia</t>
  </si>
  <si>
    <t>nákup dopravných prostriedkov</t>
  </si>
  <si>
    <t>prípravná a projektová dokumentácia</t>
  </si>
  <si>
    <t>Realizácia stavieb a ich tech.zhodnotenia</t>
  </si>
  <si>
    <t>Kapitálové transfery</t>
  </si>
  <si>
    <t>Príloha č.19</t>
  </si>
  <si>
    <t>Príjmové operácie spolu</t>
  </si>
  <si>
    <t>Odplata za postúpené pohľadávky</t>
  </si>
  <si>
    <t>Bankové úvery dlhodobé</t>
  </si>
  <si>
    <t>Výdavkové operácie spolu</t>
  </si>
  <si>
    <t>Splácanie tuzemskej istiny -  z bankových úverov dlhodobých</t>
  </si>
  <si>
    <t>Splácanie tuzemskej istiny -  z ostatných úverov, pôžičiek a finančných výpomocí dlhodobých</t>
  </si>
  <si>
    <t>Príloha č. 20</t>
  </si>
  <si>
    <t>Pedagogickí zamestnanci</t>
  </si>
  <si>
    <t>Odborní zamestnanci</t>
  </si>
  <si>
    <t>Asistenti učiteľa</t>
  </si>
  <si>
    <t>Vychovávatelia</t>
  </si>
  <si>
    <t>Nepedagogickí zamestnanci</t>
  </si>
  <si>
    <t>Zamestnanci školskej jedálne</t>
  </si>
  <si>
    <t>Spolu zamestnancov</t>
  </si>
  <si>
    <t>ZŠ Bezručova</t>
  </si>
  <si>
    <t>ZŠ Dlhé Hony</t>
  </si>
  <si>
    <t>ZŠ Hodžova</t>
  </si>
  <si>
    <t>ZŠ Kubranská</t>
  </si>
  <si>
    <t>ZŠ Na dolinách</t>
  </si>
  <si>
    <t>ZŠ Novomeského</t>
  </si>
  <si>
    <t>ZŠ Východná</t>
  </si>
  <si>
    <t>ZŠ Veľkomoravská</t>
  </si>
  <si>
    <t>ZŠ Potočná</t>
  </si>
  <si>
    <t>ZUŠ</t>
  </si>
  <si>
    <t>CVČ</t>
  </si>
  <si>
    <t>Príloha č.21</t>
  </si>
  <si>
    <t>škola/trieda</t>
  </si>
  <si>
    <t>1. - 4.r.</t>
  </si>
  <si>
    <t>5. - 9.r.</t>
  </si>
  <si>
    <t>spolu žiakov školy</t>
  </si>
  <si>
    <t>porovnanie s min. r.</t>
  </si>
  <si>
    <t>počet tried</t>
  </si>
  <si>
    <t xml:space="preserve">ŠKD              </t>
  </si>
  <si>
    <t>integro-     vaní žiaci</t>
  </si>
  <si>
    <t>SZP</t>
  </si>
  <si>
    <t>Bezručova</t>
  </si>
  <si>
    <t>Dlhé Hony</t>
  </si>
  <si>
    <t>Hodžova</t>
  </si>
  <si>
    <t>Kubranská</t>
  </si>
  <si>
    <t>Na dolinách</t>
  </si>
  <si>
    <t>Novomeského</t>
  </si>
  <si>
    <t>Potočná 86</t>
  </si>
  <si>
    <t>Veľkomoravská</t>
  </si>
  <si>
    <t>Východná</t>
  </si>
  <si>
    <t>Spolu žiakov v ročníku</t>
  </si>
  <si>
    <t>Počet tried</t>
  </si>
  <si>
    <t>Priemerná naplnenosť</t>
  </si>
  <si>
    <t>Príloha č.22</t>
  </si>
  <si>
    <t>Rozpočtové organizácie v zriaďovateľskej pôsobnosti Mesta Trenčín:</t>
  </si>
  <si>
    <t>Dátum vzniku:</t>
  </si>
  <si>
    <t>Mestské hospodárstvo a správa lesov, Soblahovská 65, Trenčín</t>
  </si>
  <si>
    <t>Sociálne služby mesta Trenčín, Piaristická 42, Trenčín</t>
  </si>
  <si>
    <t>Školské zariadenia mesta Trenčín, Kubranská cesta 20, Trenčín</t>
  </si>
  <si>
    <t>Základná umelecká škola Karola Pádivého, Nám.SNP 2, Trenčín</t>
  </si>
  <si>
    <t>Centrum voľného času Trenčín, Východná č.9, Trenčín</t>
  </si>
  <si>
    <t>ZŠ Veľkomoravská, Veľkomoravská č.12, Trenčín</t>
  </si>
  <si>
    <t>ZŠ Dlhé Hony, Dlhé Hony č.1, Trenčín</t>
  </si>
  <si>
    <t>ZŠ Bezručova, Bezručova č.66, Trenčín</t>
  </si>
  <si>
    <t>ZŠ Hodžova, Hodžova č.37, Trenčín</t>
  </si>
  <si>
    <t>ZŠ L. Novomeského, L.Novomeského č.11, Trenčín</t>
  </si>
  <si>
    <t>ZŠ Východná, Východná č.9, Trenčín</t>
  </si>
  <si>
    <t>ZŠ Na dolinách, Na dolinách 27, Trenčín</t>
  </si>
  <si>
    <t>ZŠ Kubranská, Kubranská 80</t>
  </si>
  <si>
    <t>MŠ Šafárikova, Šafárikova 11, Trenčín</t>
  </si>
  <si>
    <t>Príloha č. 23</t>
  </si>
  <si>
    <t>Číslo riadku</t>
  </si>
  <si>
    <t>Ukazovateľ (hlavná kategória ekonomickej klasifikácie)</t>
  </si>
  <si>
    <t>Suma</t>
  </si>
  <si>
    <t>PRÍJMY (100+200+300) a príjmové finančné operácie (400+500)</t>
  </si>
  <si>
    <t>Daňové príjmy (100)</t>
  </si>
  <si>
    <t>Nedaňové príjmy (200)</t>
  </si>
  <si>
    <t>Granty a transfery (300)</t>
  </si>
  <si>
    <t>Príjmové finančné operácie (400+500)</t>
  </si>
  <si>
    <t xml:space="preserve"> - príjmy z transakcií s finančnými aktívami a finančnými pasívami (400)</t>
  </si>
  <si>
    <t xml:space="preserve"> - prijaté úvery, pôžičky a návratné finančné výpomoci (500)</t>
  </si>
  <si>
    <t>VÝDAVKY (600+700) a výdavkové finančné operácie (800)</t>
  </si>
  <si>
    <t>Bežné výdavky (600)</t>
  </si>
  <si>
    <t>Kapitálové výdavky (700)</t>
  </si>
  <si>
    <t>Výdavkové finančné operácie (800)</t>
  </si>
  <si>
    <t>Prebytok (+)/schodok (-) (r.1-r.8)</t>
  </si>
  <si>
    <t>Prebytok (+)/schodok (-) po vylučení príjmových a výdavkových finančných operácií  (r.1 - r.5 - r.8 + r.11)</t>
  </si>
  <si>
    <t>Zmena stavu vybraných pohľadávok (+,-) (r.15 - r.16)</t>
  </si>
  <si>
    <r>
      <t xml:space="preserve">Stav vybraných pohľadávok  </t>
    </r>
    <r>
      <rPr>
        <sz val="8"/>
        <color rgb="FF000000"/>
        <rFont val="Arial"/>
        <family val="2"/>
        <charset val="238"/>
      </rPr>
      <t>ku koncu sledovaného obdobia</t>
    </r>
  </si>
  <si>
    <r>
      <t xml:space="preserve">Stav vybraných pohľadávok  </t>
    </r>
    <r>
      <rPr>
        <sz val="8"/>
        <color rgb="FF000000"/>
        <rFont val="Arial"/>
        <family val="2"/>
        <charset val="238"/>
      </rPr>
      <t>k 31.12. predchádzajúceho obdobia</t>
    </r>
  </si>
  <si>
    <t>Zmena stavu vybraných záväzkov (+,-) (r.19 - r.18)</t>
  </si>
  <si>
    <r>
      <t xml:space="preserve">Stav vybraných záväzkov  </t>
    </r>
    <r>
      <rPr>
        <sz val="8"/>
        <color rgb="FF000000"/>
        <rFont val="Arial"/>
        <family val="2"/>
        <charset val="238"/>
      </rPr>
      <t>ku koncu sledovaného obdobia</t>
    </r>
  </si>
  <si>
    <r>
      <t xml:space="preserve">Stav vybraných záväzkov </t>
    </r>
    <r>
      <rPr>
        <sz val="8"/>
        <color rgb="FF000000"/>
        <rFont val="Arial"/>
        <family val="2"/>
        <charset val="238"/>
      </rPr>
      <t>k 31.12. predchádzajúceho obdobia</t>
    </r>
  </si>
  <si>
    <t>Zahrnutie položiek časového rozlíšenia (r.14 + r.17)</t>
  </si>
  <si>
    <t>Prebytok (+)/schodok (-) v metodike ESA 2010 (r.13 + r.20)</t>
  </si>
  <si>
    <t xml:space="preserve">V súlade s § 4, ods. 7 zákona č. 583/2004 o rozpočtových pravidlách územnej samosprávy v znení neskorších predpisov sa pre potreby vyčíslenia schodku rozpočtu obce alebo prebytku rozpočtu obce ako subjektu verejnej správy uplatňuje jednotná metodika platná pre Európsku úniu. </t>
  </si>
  <si>
    <t xml:space="preserve">Európsky systém národných a regionálnych účtov ESA 2010 je najnovší medzinárodne porovnateľný účtovný rámec EÚ pre systematický a podrobný opis ekonomiky. Je implementovaný od 1. septembra 2014 a prenos údajov z členských štátov do Eurostatu po tomto dátume sa riadi pravidlami Programu zasielania údajov ESA 2010. Štruktúra ESA 2010 je konzistentná s celosvetovými usmerneniami o národnom účtovníctve stanovenými v metodike pre systém národných účtov 2008 (SNA 2008), s výnimkou určitých rozdielov v prezentácii a vysokého stupňa presnosti niektorých pojmov ESA 2010, ktoré sa používajú na špecifické účely EÚ. </t>
  </si>
  <si>
    <t>Postup pre výpočet výsledku hospodárenia  v metodike ESA 2010 je uvedený na stránke Ministerstva financií SR.</t>
  </si>
  <si>
    <t>Program 10: Životné prostredie Podprogram 1: Verejná zeleň - Brezina a Soblahov</t>
  </si>
  <si>
    <t>Program 8: Šport a mládež Podprogram 3 Prvok 4: Plavárne</t>
  </si>
  <si>
    <t>312 001: transfer</t>
  </si>
  <si>
    <t>292 006: z náhrad poistného plnenia</t>
  </si>
  <si>
    <t>231: Príjem z predaja kapitálových aktív</t>
  </si>
  <si>
    <t>242: Úroky</t>
  </si>
  <si>
    <t>292 006: Z náhrad poistného plnenia</t>
  </si>
  <si>
    <t>Nevyč.dot. 2018</t>
  </si>
  <si>
    <t>10.4.0. Soc. pomoc obč.núdzi</t>
  </si>
  <si>
    <t>08.1.0. Rekreácie, kultúra a náboženstvo</t>
  </si>
  <si>
    <t>713: Nákup strojov, prístrojov a zariadení</t>
  </si>
  <si>
    <t>713: Nákup strojov, prístrojov, zariadení</t>
  </si>
  <si>
    <t>340: Zahraničné transfery</t>
  </si>
  <si>
    <t>717: Realizácia stavieb a ich tech.zhodnotenia</t>
  </si>
  <si>
    <t>Prijaté bežné dotácie v roku 2019</t>
  </si>
  <si>
    <t>Prijaté kapitálové dotácie v roku 2019</t>
  </si>
  <si>
    <t>Dotácie v oblasti športu a mládeže na činnosť v roku 2019</t>
  </si>
  <si>
    <t>Dotácie v oblasti športu a mládeže v roku 2019</t>
  </si>
  <si>
    <t>Dotácie v  oblasti kultúry  v roku 2019</t>
  </si>
  <si>
    <t>Dotácie v sociálnej oblasti v roku 2019</t>
  </si>
  <si>
    <t>Dotácie v  oblasti školstva  v roku 2019</t>
  </si>
  <si>
    <t>Dotácie v  oblasti životného prostredia  v roku 2019</t>
  </si>
  <si>
    <t>k 31.12.2019</t>
  </si>
  <si>
    <t>Pohľadávky Mesta Trenčín k 31.12.2019</t>
  </si>
  <si>
    <t>Bežné výdavky podľa funkčnej klasifikácie k 31.12.2019</t>
  </si>
  <si>
    <t>Kapitálové výdavky podľa funkčnej klasifikácie k 31.12.2019</t>
  </si>
  <si>
    <t>Bežné a kapitálové výdavky podľa ekonomickej klasifikácie k 31.12.2019</t>
  </si>
  <si>
    <t>Finančné operácie podľa ekonomickej  klasifikácie k 31.12.2019</t>
  </si>
  <si>
    <t>Zaži Trenčín o.z.</t>
  </si>
  <si>
    <t>OZ rodičov pri MŠ Šafárikova, Tn</t>
  </si>
  <si>
    <t>Asociácia zväzov zdravotne postihnutých, Tn</t>
  </si>
  <si>
    <t>SVB 2718, Liptovská 1, Tn</t>
  </si>
  <si>
    <t>RZ pri MŠ K. Šmidkeho 12, Tn</t>
  </si>
  <si>
    <t>OZ Cooltúrne, Bavlnárska 5, Tn</t>
  </si>
  <si>
    <t>Laugaricio Trenčín - klub karate Slovakia</t>
  </si>
  <si>
    <t>Klub slovenských turistov Regionálna rada</t>
  </si>
  <si>
    <t>o.z. Dračia Légia Trenčín</t>
  </si>
  <si>
    <t>Letci Trenčín</t>
  </si>
  <si>
    <t>Vzpieračsky klub KOFI, o.z</t>
  </si>
  <si>
    <t>Laugaricio Combat Club</t>
  </si>
  <si>
    <t>ŠK Real Team, o.z. Trenčín</t>
  </si>
  <si>
    <t>Vysokohorský klub VKT pri SVTS o.z. Trenčín</t>
  </si>
  <si>
    <t>Buď lepší o.z.</t>
  </si>
  <si>
    <t>Tenisová klub AS o.z. Trenčín</t>
  </si>
  <si>
    <t>Bedmintonový klub MI o.z. Trenčín</t>
  </si>
  <si>
    <t>ILYO - Taekwondo Trenčín</t>
  </si>
  <si>
    <t>Jednota Sokol o.z., Trenčín</t>
  </si>
  <si>
    <t>Bedmintonový klub AS o.z., Trenčín</t>
  </si>
  <si>
    <t>Tenisové centrum mládeže, o.z. Trenčín</t>
  </si>
  <si>
    <t>Kanoistický klub TTS o.z., Trenčín</t>
  </si>
  <si>
    <t>Trenčinsky kolkársky klub o.z., Trenčín</t>
  </si>
  <si>
    <t>Miestny klub Slovenkého Orla</t>
  </si>
  <si>
    <t>Climberg športový klub</t>
  </si>
  <si>
    <t>Strelecký kub Inovec</t>
  </si>
  <si>
    <t>Golfový a športový klub Trenčín</t>
  </si>
  <si>
    <t>ŠK Dračie Légie 2012 Trenčín</t>
  </si>
  <si>
    <t>Športový klub nepočujúcich</t>
  </si>
  <si>
    <t>Stolnotenisový klub Keraming Trenčín</t>
  </si>
  <si>
    <t>Elite fight promotion, o.z.</t>
  </si>
  <si>
    <t>Karate klub Ekonóm, o.z.</t>
  </si>
  <si>
    <t>TK ASICS Trenčín</t>
  </si>
  <si>
    <t>Bikeacademy.sk</t>
  </si>
  <si>
    <t>Kraso, o.z.</t>
  </si>
  <si>
    <t>Športový klub polície</t>
  </si>
  <si>
    <t>Považská Sokolská župa</t>
  </si>
  <si>
    <t>Nordic Walking Trenčín a okolie</t>
  </si>
  <si>
    <t>UNIPLAŽ</t>
  </si>
  <si>
    <t>LUAN</t>
  </si>
  <si>
    <t>účel dotácie</t>
  </si>
  <si>
    <t>Nezisková organizácia VOICES n.o.</t>
  </si>
  <si>
    <t>Názov projektu - Na vlastných nohách</t>
  </si>
  <si>
    <t>Spoločnosť Downovho syndrómu na Slov.</t>
  </si>
  <si>
    <t>Plavecké preteky Veľká cena primátora  mesta Trenčín zdravotne znevýhodnenej mládeže</t>
  </si>
  <si>
    <t>o.z. Južania - RC Južanček</t>
  </si>
  <si>
    <t>Projekt - Deň farnosti</t>
  </si>
  <si>
    <t>Martin Vlnka s.r.o.</t>
  </si>
  <si>
    <t xml:space="preserve">Trenčiansky polmaratón pod záštitou primátora </t>
  </si>
  <si>
    <t>Silnejší slabším o.z.</t>
  </si>
  <si>
    <t>Medzigeneračné učenie</t>
  </si>
  <si>
    <t>Športový klub REAL team Trenčín</t>
  </si>
  <si>
    <t>Slovenský pohár detí a žiakov 1. kolo</t>
  </si>
  <si>
    <t>Slnko Sihote, o.z.</t>
  </si>
  <si>
    <t>Úsemv detí</t>
  </si>
  <si>
    <t>Sportkemp, o.z.</t>
  </si>
  <si>
    <t>NIGHT RUN Trenčín -sprievodný rpogram noc múzeí</t>
  </si>
  <si>
    <t>Moja peiseň, o.z.</t>
  </si>
  <si>
    <t>Neboj sa remesla</t>
  </si>
  <si>
    <t>Tenisové centrum mládeže Trenčín</t>
  </si>
  <si>
    <t>VII. Ročník Destská športová olympiáda</t>
  </si>
  <si>
    <t>Kultúrne centrum Aktivity o.z.</t>
  </si>
  <si>
    <t>Knižnica vecí</t>
  </si>
  <si>
    <t>Medzinárodný turnaj k oslobodeniu mesta Trenčín</t>
  </si>
  <si>
    <t>Aktívne ženy Trenčína a okolia</t>
  </si>
  <si>
    <t>Kultúrne centrum Sihoť</t>
  </si>
  <si>
    <t>5. ročník Trenčianska bežecká liga</t>
  </si>
  <si>
    <t>o.z 3run Slovakia</t>
  </si>
  <si>
    <t>5. ročník Trenčín inline 2018 - Majstrovstva Slovenska mesta Trenčín</t>
  </si>
  <si>
    <t>Interaktívny wokshop o triedení odpadu, recyklácii a zero waste</t>
  </si>
  <si>
    <t>Buď lepší, o.z.</t>
  </si>
  <si>
    <t>Buď lepší - CHALENGE DAY 9</t>
  </si>
  <si>
    <t>TeCeMko o.z.</t>
  </si>
  <si>
    <t>Mladí dobrovoľníci v akcii</t>
  </si>
  <si>
    <t>AS Trenčín a.s.</t>
  </si>
  <si>
    <t>This is my sen.</t>
  </si>
  <si>
    <t>Slovenský skauting, 93. prístav Tortuga Trenčín</t>
  </si>
  <si>
    <t>Vodácka cesta za poznaním</t>
  </si>
  <si>
    <t>Kynologický klub Laugaricio</t>
  </si>
  <si>
    <t>Mslovenska ZŠK, Mslovenska SKBO, kvalifikácia na MS FCI</t>
  </si>
  <si>
    <t>TRAKT o.z.</t>
  </si>
  <si>
    <t>Filmový workshop</t>
  </si>
  <si>
    <t>HK DUKLA Trenčín, n.o.</t>
  </si>
  <si>
    <t>Medzinárodný turnaj 5. ročník, memoriál Jozefa Hantáka</t>
  </si>
  <si>
    <t>Dom poznania o.z.</t>
  </si>
  <si>
    <t>Iambitions - prepojenie ambcióznych mladých ľudí s inšpiratívnymi profesionálmi</t>
  </si>
  <si>
    <t xml:space="preserve">Šport center </t>
  </si>
  <si>
    <t>Letný futbalový turnaj prípraviek</t>
  </si>
  <si>
    <t>Memoriál Karola Borhyho 20. ročník</t>
  </si>
  <si>
    <t>Elite Fight Promotion o.z</t>
  </si>
  <si>
    <t>Muay Thai Evening 10,1</t>
  </si>
  <si>
    <t>Športový klub polície v Trenčíne</t>
  </si>
  <si>
    <t>ŠKP CUP 2019 - Hokejový turnaj Sihoť 2019</t>
  </si>
  <si>
    <t>Cross run Opatová 2019</t>
  </si>
  <si>
    <t>Trenčiansky regata 62. ročník - kanoistický klub</t>
  </si>
  <si>
    <t>LCC Fight Night</t>
  </si>
  <si>
    <t>Spojená škola internátna Trenčín</t>
  </si>
  <si>
    <t>Letná atletická olympiáda</t>
  </si>
  <si>
    <t>Trenčiansky futbalový klub 1939 Záblatie</t>
  </si>
  <si>
    <t>Oslavy 80. výročia založenia futbalového klubu v Záblatí</t>
  </si>
  <si>
    <t>Slovenská asociácia silných mužov</t>
  </si>
  <si>
    <t>Meč Matúša Čáka 2019</t>
  </si>
  <si>
    <t>Tanečný klub Aura Dance</t>
  </si>
  <si>
    <t>Dance Motion</t>
  </si>
  <si>
    <t>Promopline PLUS, s.r.o.</t>
  </si>
  <si>
    <t>Small Dragon Boat Festival 2019</t>
  </si>
  <si>
    <t>Trenčín OPEN 2019 - International Taekwondo WT Tournament</t>
  </si>
  <si>
    <t>Tenisový klub AS Trenčín</t>
  </si>
  <si>
    <t>Denné športovo tenisové tábory</t>
  </si>
  <si>
    <t>Capoeira Vrbové</t>
  </si>
  <si>
    <t>Capoeira pre deti a dospelých v Trenčíne</t>
  </si>
  <si>
    <t>Bedmintonový klub AS Trenčín</t>
  </si>
  <si>
    <t>FZ Forza Slovak junior 2019</t>
  </si>
  <si>
    <t>Zaži Trenčín</t>
  </si>
  <si>
    <t>3. športová oplympiáda pre zdravotne postihnutých</t>
  </si>
  <si>
    <t>Mestská únia malého futbalu</t>
  </si>
  <si>
    <t>Mestská liga v malom futbale.</t>
  </si>
  <si>
    <t>projekt</t>
  </si>
  <si>
    <t>1</t>
  </si>
  <si>
    <t>DFS Kornička</t>
  </si>
  <si>
    <t xml:space="preserve">20. výročie DFS Kornička </t>
  </si>
  <si>
    <t>2</t>
  </si>
  <si>
    <t>Silnejší slabším</t>
  </si>
  <si>
    <t>Bavíme sa bez bariér</t>
  </si>
  <si>
    <t>3</t>
  </si>
  <si>
    <t xml:space="preserve">DFS Radosť v Trenčíne </t>
  </si>
  <si>
    <t>Slávnostný program pri príležitosti 45. výročia DFS Radosť</t>
  </si>
  <si>
    <t>4</t>
  </si>
  <si>
    <t>Projekt Slamka, o.z.</t>
  </si>
  <si>
    <t>TEDx Trenčín 2019</t>
  </si>
  <si>
    <t>5</t>
  </si>
  <si>
    <t>Trenčania pre Trenčín</t>
  </si>
  <si>
    <t>Divadelná Opatová</t>
  </si>
  <si>
    <t>6</t>
  </si>
  <si>
    <t>Kultúrne leto na Severe</t>
  </si>
  <si>
    <t>7</t>
  </si>
  <si>
    <t xml:space="preserve">Kultúrne centrum AKTIVITY, o.z.  </t>
  </si>
  <si>
    <t xml:space="preserve">Tvorenie pre všetkých a v každom veku </t>
  </si>
  <si>
    <t>8</t>
  </si>
  <si>
    <t>Seniorklub Družba Trenčín</t>
  </si>
  <si>
    <t xml:space="preserve">Roky v tanci a piesni </t>
  </si>
  <si>
    <t>9</t>
  </si>
  <si>
    <t>Občianske združenie JUŽANIA - RC Južanček</t>
  </si>
  <si>
    <t xml:space="preserve">Žatva - laické ľudové piesne </t>
  </si>
  <si>
    <t>X-Mas dance show</t>
  </si>
  <si>
    <t>11</t>
  </si>
  <si>
    <t>Hospic Milosrdných sestier</t>
  </si>
  <si>
    <t>Benefičný koncert pre pacientov Hospicu Milosrdných sestier</t>
  </si>
  <si>
    <t>12</t>
  </si>
  <si>
    <t xml:space="preserve">TRAKT </t>
  </si>
  <si>
    <t>Imaginárium/Hoaxáci</t>
  </si>
  <si>
    <t>13</t>
  </si>
  <si>
    <t>COOLTÚRNE o.z.</t>
  </si>
  <si>
    <t xml:space="preserve">Priestor </t>
  </si>
  <si>
    <t>14</t>
  </si>
  <si>
    <t>Dychová hudba Textilanka</t>
  </si>
  <si>
    <t xml:space="preserve">Kultúrne leto na Zámostí </t>
  </si>
  <si>
    <t>15</t>
  </si>
  <si>
    <t>Občania pre Trenčín</t>
  </si>
  <si>
    <t xml:space="preserve">12. Zlatovský festival dychovských hudieb </t>
  </si>
  <si>
    <t>16</t>
  </si>
  <si>
    <t>Folklórny súbor Družba</t>
  </si>
  <si>
    <t>65. výročie založenia FS Družba. Stretnutie folklórnych nadšencov a priateľov - tanečný dom</t>
  </si>
  <si>
    <t>17</t>
  </si>
  <si>
    <t>Veselé Zlatovce, o.z.</t>
  </si>
  <si>
    <t>Zachovávanie kultúrnych tradícií a zvyklostí v mestskej časti Zlatovce</t>
  </si>
  <si>
    <t>18</t>
  </si>
  <si>
    <t>Projekt Ostrov</t>
  </si>
  <si>
    <t>Gympelrock</t>
  </si>
  <si>
    <t>19</t>
  </si>
  <si>
    <t>Folklórny súbor Nadšenci</t>
  </si>
  <si>
    <t>XI. tanečný dom v Trenčíne</t>
  </si>
  <si>
    <t>20</t>
  </si>
  <si>
    <t>Trenčianska jazzová spoločnosť Fenix</t>
  </si>
  <si>
    <t>XXVI. Jazz pod hradom Trenčiansky jazzový festival</t>
  </si>
  <si>
    <t>21</t>
  </si>
  <si>
    <t>Jazz v meste 2019</t>
  </si>
  <si>
    <t>22</t>
  </si>
  <si>
    <t xml:space="preserve">CPR Trenčín o.z.     </t>
  </si>
  <si>
    <t>Deň rodiny v Trenčíne 2019</t>
  </si>
  <si>
    <t>23</t>
  </si>
  <si>
    <t>Face2bass Klub</t>
  </si>
  <si>
    <t>Fest Art  2019</t>
  </si>
  <si>
    <t>24</t>
  </si>
  <si>
    <t>Nová Vlna</t>
  </si>
  <si>
    <t>Výstavy súčasného vizuálneho umenia</t>
  </si>
  <si>
    <t>25</t>
  </si>
  <si>
    <t>Tanečná skupina Goonies, o.z.</t>
  </si>
  <si>
    <t>Tanečná rozprávka Vianoc 2019</t>
  </si>
  <si>
    <t>26</t>
  </si>
  <si>
    <t>KOLOMAŽ, združenie pre súčasné umenie</t>
  </si>
  <si>
    <t>Otvorený kultúrny priestor 2019: "SYN-TÉZA"</t>
  </si>
  <si>
    <t>27</t>
  </si>
  <si>
    <t xml:space="preserve">OZ Materské centrum Srdiečko </t>
  </si>
  <si>
    <t>Míľa pre mamu 2018</t>
  </si>
  <si>
    <t>28</t>
  </si>
  <si>
    <t>14. ročník trenčianskeho vodníckeho stretnutia 2019</t>
  </si>
  <si>
    <t>29</t>
  </si>
  <si>
    <t>Trenčan, folklórny súbor Gymnázia Ľ. Štúra Trenčín</t>
  </si>
  <si>
    <t xml:space="preserve">70. výročie FS Trenčan </t>
  </si>
  <si>
    <t>30</t>
  </si>
  <si>
    <t>Zabezpečenie činnosti DFS Kornička 2019</t>
  </si>
  <si>
    <t>31</t>
  </si>
  <si>
    <t xml:space="preserve">Uchovávanie a rozvíjanie tradičnej ľudovej kultúry výchovou v DFS Radosť </t>
  </si>
  <si>
    <t>32</t>
  </si>
  <si>
    <t>Činnosť FS Trenčan</t>
  </si>
  <si>
    <t>33</t>
  </si>
  <si>
    <t>ŠKRUPINKA Trenčín</t>
  </si>
  <si>
    <t>Zabezpečenie činnosti ŠKRUPINKA 2019</t>
  </si>
  <si>
    <t>34</t>
  </si>
  <si>
    <t>Komorný orchester mesta Trenčín</t>
  </si>
  <si>
    <t>Činnosť KOMT v r. 2019</t>
  </si>
  <si>
    <t>35</t>
  </si>
  <si>
    <t xml:space="preserve">Seniorklub Družba Trenčín </t>
  </si>
  <si>
    <t>Činnosť FS Seniorklub Družba Trenčín 2019</t>
  </si>
  <si>
    <t>36</t>
  </si>
  <si>
    <t>Činnosť TK Aura Dance</t>
  </si>
  <si>
    <t>37</t>
  </si>
  <si>
    <t>Divadlo 21 Opatová Trenčín</t>
  </si>
  <si>
    <t xml:space="preserve">Prevádzková činnosť divadla </t>
  </si>
  <si>
    <t>38</t>
  </si>
  <si>
    <t>Činnosť FS Nadšenci 2019</t>
  </si>
  <si>
    <t>39</t>
  </si>
  <si>
    <t>Činnosť v oblasti umenia nových médií</t>
  </si>
  <si>
    <t>40</t>
  </si>
  <si>
    <t xml:space="preserve">Občianske združenie Country tanečný súbor Maryland </t>
  </si>
  <si>
    <t xml:space="preserve">Country tanečný súbor Maryland </t>
  </si>
  <si>
    <t>41</t>
  </si>
  <si>
    <t xml:space="preserve">Dychová hudba TEXTILANKA </t>
  </si>
  <si>
    <t xml:space="preserve">Materiálno-tech. zabezpečenie, dovybavenie zvukovej techniky a vydanie nového DVD nosiča </t>
  </si>
  <si>
    <t>42</t>
  </si>
  <si>
    <t>Činnosť a materiálové vybavenie súboru-sústredenia-zájazd 2019</t>
  </si>
  <si>
    <t>43</t>
  </si>
  <si>
    <t>Trenčiansky spevácky zbor</t>
  </si>
  <si>
    <t xml:space="preserve">Zachovanie a rozvoj zborového spevu v Trenčíne </t>
  </si>
  <si>
    <t>44</t>
  </si>
  <si>
    <t xml:space="preserve">Dogma Divadlo </t>
  </si>
  <si>
    <t>Dogma Divadlo - činnosť divadla, sezóna 2019/2020</t>
  </si>
  <si>
    <t>45</t>
  </si>
  <si>
    <t>Činnosť TS Goonies v roku 2019</t>
  </si>
  <si>
    <t>46</t>
  </si>
  <si>
    <t>Činnosť záujmových klubov v KC Aktivity 2019</t>
  </si>
  <si>
    <t>47</t>
  </si>
  <si>
    <t xml:space="preserve">Rodičovské združenie pri Cirkevnej základnej škole sv. Andreja - Svorada a Benedikta v Trenčíne </t>
  </si>
  <si>
    <t>skalka@deťom.sk</t>
  </si>
  <si>
    <t>48</t>
  </si>
  <si>
    <t>Rendek Holding, s.r.o.</t>
  </si>
  <si>
    <t>Trenčianske HRAdosti 2019</t>
  </si>
  <si>
    <t>49</t>
  </si>
  <si>
    <t>Susan Slovakia, s.r.o.</t>
  </si>
  <si>
    <t>Bella (a) cappela</t>
  </si>
  <si>
    <t>50</t>
  </si>
  <si>
    <t>Clover Media s.r.o</t>
  </si>
  <si>
    <t>Okolo Trenčína - festival dychových hudieb 5. ročník</t>
  </si>
  <si>
    <t>51</t>
  </si>
  <si>
    <t>Granvino, s.r.o.</t>
  </si>
  <si>
    <t>4. ročník festivalu "Víno pod hradom"</t>
  </si>
  <si>
    <t>52</t>
  </si>
  <si>
    <t>Promoline, s.r.o.</t>
  </si>
  <si>
    <t>Aróma festival</t>
  </si>
  <si>
    <t>53</t>
  </si>
  <si>
    <t>ZRNTLS s.r.o.</t>
  </si>
  <si>
    <t>Netradičný priestor pre prezentáciu viacerých foriem umenia a remesiel</t>
  </si>
  <si>
    <t>54</t>
  </si>
  <si>
    <t>Multi party, s.r.o.</t>
  </si>
  <si>
    <t xml:space="preserve">Oldies párty rádia Vlna so špeciálnym hosťom </t>
  </si>
  <si>
    <t>55</t>
  </si>
  <si>
    <t>Partymenu.eu, s.r.o.</t>
  </si>
  <si>
    <t>Edmania Open Air 2019</t>
  </si>
  <si>
    <t>56</t>
  </si>
  <si>
    <t>Vokálna skupina VOX</t>
  </si>
  <si>
    <t>57</t>
  </si>
  <si>
    <t>Mgr. Art. Zuzana Laurinčíková</t>
  </si>
  <si>
    <t xml:space="preserve">Majstri prednesu </t>
  </si>
  <si>
    <t>58</t>
  </si>
  <si>
    <t>Ing. Katarína Vidal</t>
  </si>
  <si>
    <t xml:space="preserve">Tance pre radosť </t>
  </si>
  <si>
    <t>59</t>
  </si>
  <si>
    <t>Ing. Štefan Bucha - Dielňa Motýľ</t>
  </si>
  <si>
    <t>Divadelné predstavenie pri príležitosti 100-výročia združeného včelárstva na Slovensku</t>
  </si>
  <si>
    <t>60</t>
  </si>
  <si>
    <t>Zuzana Soukupová</t>
  </si>
  <si>
    <t>CAMPANILLAS</t>
  </si>
  <si>
    <t>61</t>
  </si>
  <si>
    <t>Galéria Miloša Alexandra Bazovského v Trenčíne</t>
  </si>
  <si>
    <t xml:space="preserve">Ateliér grafiky </t>
  </si>
  <si>
    <t>62</t>
  </si>
  <si>
    <t xml:space="preserve">Nadrozmerné pexeso a kocky </t>
  </si>
  <si>
    <t>63</t>
  </si>
  <si>
    <t xml:space="preserve">Komunita Emanuel a Bratstvo Ježišovo </t>
  </si>
  <si>
    <t>On je živý 2019</t>
  </si>
  <si>
    <t>64</t>
  </si>
  <si>
    <t>Cirkevný zbor Evanjelickej cirkvi augsburského vyznania na Slovensku so sídlom v Trenčíne</t>
  </si>
  <si>
    <t xml:space="preserve">Trenčiansky evanjelický spevokol ZVON-záujmová činnnosť </t>
  </si>
  <si>
    <t>65</t>
  </si>
  <si>
    <t>Piaristické gymnázium J. Braneckého v Trenčíne</t>
  </si>
  <si>
    <t>Činnosť speváckeho zboru Piarissimo</t>
  </si>
  <si>
    <t>66</t>
  </si>
  <si>
    <t>EXPO CENTER, a. s.</t>
  </si>
  <si>
    <t>BEERFEST Trenčín</t>
  </si>
  <si>
    <t>Mesto Trenčín nemalo v roku 2019 zriadené príspevkové organizácie</t>
  </si>
  <si>
    <t>stav k 15.9.2019</t>
  </si>
  <si>
    <t xml:space="preserve">POČTY ŽIAKOV A TRIED V ROČNÍKOCH V ZŠ V ŠK. ROKU 2019/2020 </t>
  </si>
  <si>
    <r>
      <t xml:space="preserve">ZUŠ - 1120 žiakov (do 15 r. aj nad 15 r.), 536 individuálne; 584 skupinové vyučovanie; pokles </t>
    </r>
    <r>
      <rPr>
        <b/>
        <u/>
        <sz val="10"/>
        <color rgb="FF000000"/>
        <rFont val="Arial"/>
        <family val="2"/>
        <charset val="238"/>
      </rPr>
      <t xml:space="preserve"> o 8 žiakov</t>
    </r>
  </si>
  <si>
    <r>
      <t xml:space="preserve">CVČ -  546, </t>
    </r>
    <r>
      <rPr>
        <b/>
        <u/>
        <sz val="10"/>
        <rFont val="Arial"/>
        <family val="2"/>
        <charset val="238"/>
      </rPr>
      <t>pokles o 48 žiakov</t>
    </r>
  </si>
  <si>
    <r>
      <t xml:space="preserve">MŠ - 1 492 detí, z toho 502 predškolákov; </t>
    </r>
    <r>
      <rPr>
        <b/>
        <u/>
        <sz val="10"/>
        <rFont val="Arial"/>
        <family val="2"/>
        <charset val="238"/>
      </rPr>
      <t>nárast o 11 detí</t>
    </r>
  </si>
  <si>
    <r>
      <t xml:space="preserve">ŠKD - 1768 žiakov - </t>
    </r>
    <r>
      <rPr>
        <b/>
        <u/>
        <sz val="10"/>
        <rFont val="Arial"/>
        <family val="2"/>
        <charset val="238"/>
      </rPr>
      <t>nárast o 26 detí</t>
    </r>
  </si>
  <si>
    <r>
      <t xml:space="preserve">ZŠ - 4 372 žiakov - </t>
    </r>
    <r>
      <rPr>
        <b/>
        <u/>
        <sz val="11"/>
        <rFont val="Calibri"/>
        <family val="2"/>
        <charset val="238"/>
        <scheme val="minor"/>
      </rPr>
      <t>o 35 viac ako vlani</t>
    </r>
  </si>
  <si>
    <r>
      <t>IIŽ - 172 žiakov -</t>
    </r>
    <r>
      <rPr>
        <b/>
        <u/>
        <sz val="10"/>
        <rFont val="Arial"/>
        <family val="2"/>
        <charset val="238"/>
      </rPr>
      <t xml:space="preserve"> o 28  viac ako vlani</t>
    </r>
  </si>
  <si>
    <t xml:space="preserve">Verejná knižnica Michala Rešetku, p. o.  </t>
  </si>
  <si>
    <t>Súťažné aktivity v čítaní a tvorivom písaní</t>
  </si>
  <si>
    <t>Združenie rodičov a priateľov MŠ, Medňanského, o. z.</t>
  </si>
  <si>
    <t>Medušky v krojoch</t>
  </si>
  <si>
    <t xml:space="preserve">Klub aktivít školy pri ZŠ, Východná 9, o. z. </t>
  </si>
  <si>
    <t xml:space="preserve"> Dopravná výchova detí</t>
  </si>
  <si>
    <t xml:space="preserve">OZ Komenský pri ZŠ, Veľkomoravská 12 </t>
  </si>
  <si>
    <t>Súťaž v hľadaní najkrajších slovenských a svetových výrokov</t>
  </si>
  <si>
    <t>OZ Komenský pri ZŠ, Veľkomoravská 12</t>
  </si>
  <si>
    <t>Vytvorenie oddychových zón v interiéri školy</t>
  </si>
  <si>
    <t>AS Trenčín, a.s.</t>
  </si>
  <si>
    <t>MikulAS Cup</t>
  </si>
  <si>
    <t xml:space="preserve">OZ Kolotoč pri CVČ Trenčín </t>
  </si>
  <si>
    <t>Vedomosti do hrsti!</t>
  </si>
  <si>
    <t>Te-Cem-ko /Trenčianske centrum mládeže/,o. z.</t>
  </si>
  <si>
    <t>Tímovačky VIII. + IX.</t>
  </si>
  <si>
    <t>Zlatá tehlička, o. z.</t>
  </si>
  <si>
    <t>Krok za krokom vo finančnom vzdelávaní</t>
  </si>
  <si>
    <t xml:space="preserve">Rodičovské združenie  pri ZUŠ K. Pádivého Trenčín, o. z.  </t>
  </si>
  <si>
    <t>Bienále figurálnej kresby a maľby 2019</t>
  </si>
  <si>
    <t>Autis, J. Zemana 95, o. z.</t>
  </si>
  <si>
    <t>Učíme sa hrou</t>
  </si>
  <si>
    <t xml:space="preserve">OZ pri ZŠ, Na dolinách 27 </t>
  </si>
  <si>
    <t>Učebňa špecifických vyučovacích predmetov</t>
  </si>
  <si>
    <t>OZ pri ZŠ, Na dolinách 27</t>
  </si>
  <si>
    <t>Modernizácia školskej knižnice – vybudovanie školskej študovne</t>
  </si>
  <si>
    <t xml:space="preserve">Kultúrne centrum Aktivity, o. z. </t>
  </si>
  <si>
    <t>Ako sa žije zvieratkám na farme II</t>
  </si>
  <si>
    <t xml:space="preserve">Rodičovské združenie pri MŠ, Kubranská, o .z. </t>
  </si>
  <si>
    <t>Z rozprávky do rozprávky</t>
  </si>
  <si>
    <t xml:space="preserve">Galéria M. A. Bazovského Trenčín, p. o. </t>
  </si>
  <si>
    <t>Škola a galéria 2019</t>
  </si>
  <si>
    <t xml:space="preserve">Občianske združenie rodičov pri MŠ, Stromová </t>
  </si>
  <si>
    <t>Na dvore sa radi hráme, spolu sa oň postaráme</t>
  </si>
  <si>
    <t>Občianske združenie rodičov pri MŠ, Opatovská</t>
  </si>
  <si>
    <t>Lienky kolobežkujú</t>
  </si>
  <si>
    <t xml:space="preserve">Zaži Trenčín, o. z. </t>
  </si>
  <si>
    <t>Kŕmenie vtákov v zime a stavba kŕmidiel</t>
  </si>
  <si>
    <t>Splátky od 1.1.2019 do 31.12.2019</t>
  </si>
  <si>
    <t>536/CC/19</t>
  </si>
  <si>
    <t>31.1.2020</t>
  </si>
  <si>
    <t>posledná: 17 044 €</t>
  </si>
  <si>
    <t xml:space="preserve"> k 31.12.2019 v EUR</t>
  </si>
  <si>
    <t>Prepočítaný počet zamestnancov základných škôl  v šk.roku roku 2019/2020</t>
  </si>
  <si>
    <t>Ars vivendi, o.z. Pre pomoc duševne chorým</t>
  </si>
  <si>
    <t>Resocializačný pobyt pre duševne chorých na Dubníku</t>
  </si>
  <si>
    <t>Asociácia nepočujúcich Slovenska</t>
  </si>
  <si>
    <t>Sociálno - rehabilitačný pobyt</t>
  </si>
  <si>
    <t>Asociácia zväzov zdravotne postihnutých v Trenčíne (DSS)</t>
  </si>
  <si>
    <t>Teplá voda v relaxe - zabezpečíme aj s pomocou Mesta Trenčín</t>
  </si>
  <si>
    <t>AUTIS, n.o.</t>
  </si>
  <si>
    <t>Skvalitnenie sociálnej služby pre deti s autizmom</t>
  </si>
  <si>
    <t>Klub abstinentov Trenčín</t>
  </si>
  <si>
    <t>Rodinná terénna terapia 2019</t>
  </si>
  <si>
    <t>Liga proti reumatizmu</t>
  </si>
  <si>
    <t>Rekondičný pobyt Nimnica</t>
  </si>
  <si>
    <t>LUNA, n.o.</t>
  </si>
  <si>
    <t>Zriadenie pracoviska pre ergoterapiu pre klientky Bezpečného ženského domu</t>
  </si>
  <si>
    <t>Organizácia postihnutých chronickými chorobami  v Trenčín</t>
  </si>
  <si>
    <t>Rekondično-edukačný pobyt</t>
  </si>
  <si>
    <t>Rekondičný pobyt pre zdravotne postihnutých</t>
  </si>
  <si>
    <t>OZ Amazonky, pobočka Trenčín</t>
  </si>
  <si>
    <t>OZ JUŽANIA - RC Južanček</t>
  </si>
  <si>
    <t>Veselá staroba - Kultúrny program pre dôchodcov  Chceš byť bohatý, spoznaj chudobných</t>
  </si>
  <si>
    <t>Rotary club Trenčín Laugaricio</t>
  </si>
  <si>
    <t>Vykurovanie prevádzky chránenej dielne kaviareň Na ceste</t>
  </si>
  <si>
    <t>Slovenský zväz sclerosis multiplex Klub SM pri SZSM Trenčín</t>
  </si>
  <si>
    <t>Činnosť klubu v r.2019</t>
  </si>
  <si>
    <t>Slovenský zväz telesne postihnutých, ZO 17</t>
  </si>
  <si>
    <t>Hydroterapiou k regenerácii ťažko telesne postihnutých</t>
  </si>
  <si>
    <t>Slovenský zväz telesne postihnutých, ZO 57</t>
  </si>
  <si>
    <t>Rekondično - integračný program pre členov ZO</t>
  </si>
  <si>
    <t>StarDOS, n.o.</t>
  </si>
  <si>
    <t>Zobrazovač žíl, prístroj pre Trenčín</t>
  </si>
  <si>
    <t>Únia nevidiacich a slabozrakých Slovenska</t>
  </si>
  <si>
    <t>Prečítam aj potme</t>
  </si>
  <si>
    <t>Základná organizácia nedoslýchavých v Trenčíne</t>
  </si>
  <si>
    <t>Činnosť ZO nedoslýchavých v roku 2019</t>
  </si>
  <si>
    <t>Združenie na pomoc ľuďom s mentálnym postihnutím v Trenčíne</t>
  </si>
  <si>
    <t>Deň krivých zrkadiel 2019</t>
  </si>
  <si>
    <t>Zväz diabetikov Slovenska, ZO DIAVIA Trenčín</t>
  </si>
  <si>
    <t>Činnosť v roku 2019</t>
  </si>
  <si>
    <t>JDS ZO 02 - Akadémia tretieho veku</t>
  </si>
  <si>
    <t>Celoživotné vzdelávanie seniorov Akadémia tretieho veku</t>
  </si>
  <si>
    <t>Slovenská pátracia služba</t>
  </si>
  <si>
    <t>Aby sa stratení čím skôr našli a vrátili späť domov, k svojim rodinám ....</t>
  </si>
  <si>
    <t>Ministerstvo vnútra SR</t>
  </si>
  <si>
    <t>Dotácia na úhradu cestovných nákladov žiakov</t>
  </si>
  <si>
    <t>Dotácia na osobné náklady asistentov učiteľov</t>
  </si>
  <si>
    <t>Dotácia na vzdelávacie poukazy</t>
  </si>
  <si>
    <t>Dotácia na prenesené kompetnencie na odchodné</t>
  </si>
  <si>
    <t>Dotácia na prenesené kompetnencie - mzdy, odvody, tovary a služby (v tom rekreačné poukazy 25.228 €)</t>
  </si>
  <si>
    <t>Dotácia na príspevok  na žiakov  zo sociálne znevýhodneného prostredia</t>
  </si>
  <si>
    <t>Dotácia za mimoriadne výsledky žiakov</t>
  </si>
  <si>
    <t>Dotácia na učebnice</t>
  </si>
  <si>
    <t>Finančné prostriedky na výchovu a vzdelávanie pre materské školy</t>
  </si>
  <si>
    <t>Prenesený výkon štátnej správy - školský úrad</t>
  </si>
  <si>
    <t>Dotácia na príspevok školy v prírode</t>
  </si>
  <si>
    <t>dotácia na príspevok na lyžiarske kurzy</t>
  </si>
  <si>
    <t>Úrad práce, sociálnych vecí a rodiny SR</t>
  </si>
  <si>
    <t>Dotácia na školské potreby pre deti v hmotnej núdzi</t>
  </si>
  <si>
    <t>Dotácia na podpory výchovy k stravovacím návykom ("obedy zadarmo")</t>
  </si>
  <si>
    <t>Dotácia na stravu pre deti v hmotnej núdzi</t>
  </si>
  <si>
    <t>Dotácia na zabezpečenie starostlivosti o vojnové hroby</t>
  </si>
  <si>
    <t>Ministerstvo dopravy, výstavby a regionálneho rozvoja SR</t>
  </si>
  <si>
    <t>Prenesený výkon štátnej správy ŠFRB</t>
  </si>
  <si>
    <t>Prenesený výkon štátnej správy starostlivosti o životné prostredie</t>
  </si>
  <si>
    <t>Ministerstvo dopravy a výstavby SR</t>
  </si>
  <si>
    <t>Prenesený výkon štátnej správy na úseku miest. účel.komunikácií</t>
  </si>
  <si>
    <t>Prenesený výkon štátnej správy v oblasti stav.poriadku  vr.vyvlast.</t>
  </si>
  <si>
    <t>Ministerstvo práce, sociálnych veci a rodiny SR</t>
  </si>
  <si>
    <t>Dotácia na financovanie soc.služby v zariadení  sociálnych služieb</t>
  </si>
  <si>
    <t>Fond na podporu umenia</t>
  </si>
  <si>
    <t>Pri trenčianskej bráne 33.ročník mestského festivalu ľudovej kultúry a zábavy</t>
  </si>
  <si>
    <t>Prenesený výkon štátnej správy na úseku vedenia matriky</t>
  </si>
  <si>
    <t>Prenesený výkon štátnej správa na úseku registra adries</t>
  </si>
  <si>
    <t>Prenesený výkon štátnej správy na ús.hlás.pobytu obč.a reg.obyv.SR</t>
  </si>
  <si>
    <t>Dotácia  - voľby  prezidenta</t>
  </si>
  <si>
    <t>Dotácia - voľby  do europarlamentu</t>
  </si>
  <si>
    <t>Prídavky na deti</t>
  </si>
  <si>
    <t>Ministerstvo pôdohospodárstva a rozvoja vidieka SR</t>
  </si>
  <si>
    <t>Nenávratný finančný príspevok na podporu administratívnych kapacít SO pre IROP mesta Trenčín</t>
  </si>
  <si>
    <t>Ministerstvo životného prostredia SR</t>
  </si>
  <si>
    <t>NFPz MŽP SR-Obnova MŠ Opatovská</t>
  </si>
  <si>
    <t>Obnova MŠ Šafárikova</t>
  </si>
  <si>
    <t>Úrad vlády SR</t>
  </si>
  <si>
    <t>Dotácia  na výmenu umelého trávnika</t>
  </si>
  <si>
    <t>Trenčiansky samosprávny kraj</t>
  </si>
  <si>
    <t>Grant na projekt Separovanie na školách</t>
  </si>
  <si>
    <t>Dobrovoľná požiarna ochrana SR</t>
  </si>
  <si>
    <t>Zabezpečenie akcieschopnosti  DHZO Trenčín-Opatová</t>
  </si>
  <si>
    <t>Zabezpečenie akcieschopnosti  DHZO Trenčín-Záblatie</t>
  </si>
  <si>
    <t>Nenávratný finančných príspevok na obnovu MŠ Opatovská</t>
  </si>
  <si>
    <t>Nenávratný finančných príspevok na obnovu MŠ Šafárikova</t>
  </si>
  <si>
    <t>Dotácia  na obstaranie náhradných nájomných bytov, technickej vybavenosti a pozemku kúpou</t>
  </si>
  <si>
    <t>Nenávratný finančný príspevok na projekt Stratégia adaptability  mesta Trenčín na klimatickú zmeny</t>
  </si>
  <si>
    <t>Nenávratný finančný príspevok na projekt  Zvýšenie mestskej mobility budovaním siete cyklistickej infraštruktúry v Trenčíne: Trasa C - ul. Karpatská</t>
  </si>
  <si>
    <t>Nenávratný finančný príspevok na projekt na obnova MS Kubranská</t>
  </si>
  <si>
    <t>Nenávratný finančný príspevok na projekt Zlepšenie enviromentálnych aspektov v meste Trenčín - vybudovanie prvkov zelenej infraštruktúry pri regenerácii vnútrobloku J. Halašu</t>
  </si>
  <si>
    <t>Dotácia  na rekonštrukciu zimného štadióna</t>
  </si>
  <si>
    <t>Centrum voľného času, m.r.o.</t>
  </si>
  <si>
    <t xml:space="preserve">  Vývoj dlhovej služby Mesta Trenčín v rokoch  2013-2019 vo väzbe  na zákon č.583/2004 Z.z. o rozpočtových pravidlách územnej samosprávy  a o zmene a doplnení niektorých zákonov v znení neskorších predpisov </t>
  </si>
  <si>
    <t>Výsledok hospodárenia Mesta Trenčín v metodike ESA 2010 za rok 2019</t>
  </si>
  <si>
    <t>Asociácia Fitness Gabrhel Trenčín</t>
  </si>
  <si>
    <t>Šport festival</t>
  </si>
  <si>
    <t>Súvaha Mesta Trenčín a mestských rozpočtových organizácií mesta  k 31.12.2019</t>
  </si>
  <si>
    <t>Prehľad dlhu v zmysle § 17, ods. 6,7 zákona č. 583/2004 o rozpočtových pravidlách územnej samosprávy v znení neskorších predpisov k 31.12.2019</t>
  </si>
  <si>
    <t xml:space="preserve"> V súlade s § 17, ods. 6 zákona č.583/2004 Z.z. o rozpočtových pravidlách územnej samosprávy a o zmene a doplnení niektorých zákonov v znení neskorších predpisov môže obec na splnenie svojich úloh prijať návratné zdroje financovania len ak:</t>
  </si>
  <si>
    <t>Zostatok prostriedkov z predchádzajúcich rokov</t>
  </si>
  <si>
    <t>2049</t>
  </si>
  <si>
    <t>mesačne: 17 084 €</t>
  </si>
  <si>
    <t>Prenájom 2 ks mobilných toaliet</t>
  </si>
  <si>
    <t>Vybudovanie 6 vyvýšených záhonov v átriu MŠ</t>
  </si>
  <si>
    <t>Nákup stromčekov, revitalizácia trávnikov, rekonštrukcia átria</t>
  </si>
  <si>
    <t>Nákup kompostéra</t>
  </si>
  <si>
    <t>Revitalizácia školského dvora</t>
  </si>
  <si>
    <t>Nákup vratných pohárov</t>
  </si>
  <si>
    <t>09.1.2.1.   Primárne vzdelávanie s bežnou star.</t>
  </si>
  <si>
    <t>09.2.1.1. Nižšie sek. vzdelávanie všeobecné s bežnou star.</t>
  </si>
  <si>
    <t>Skvalitnenie podmienok pohybu pre deti</t>
  </si>
  <si>
    <t>Príloha č.7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</si>
</sst>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[h]&quot;:&quot;mm&quot;:&quot;ss"/>
    <numFmt numFmtId="165" formatCode="0.0"/>
    <numFmt numFmtId="166" formatCode="#,##0.00&quot; &quot;[$€-41B];[Red]&quot;-&quot;#,##0.00&quot; &quot;[$€-41B]"/>
    <numFmt numFmtId="167" formatCode="d&quot;.&quot;m&quot;.&quot;yyyy"/>
    <numFmt numFmtId="168" formatCode="#,##0.0"/>
    <numFmt numFmtId="169" formatCode="#,##0\ _€;[Red]\-#,##0\ _€"/>
    <numFmt numFmtId="170" formatCode="#,##0.00\ &quot;Sk&quot;"/>
    <numFmt numFmtId="171" formatCode="#,##0.00\ [$€-1];\-#,##0.00\ [$€-1]"/>
    <numFmt numFmtId="172" formatCode="#,##0.00\ [$€-1]"/>
    <numFmt numFmtId="173" formatCode="#,##0.00\ &quot;€&quot;;[Red]#,##0.00\ &quot;€&quot;"/>
  </numFmts>
  <fonts count="64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rgb="FFC00000"/>
      <name val="Arial"/>
      <family val="2"/>
      <charset val="238"/>
    </font>
    <font>
      <sz val="11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6"/>
      <color rgb="FFC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FFFFFF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1"/>
      <color rgb="FF8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color rgb="FFFF0000"/>
      <name val="Arial"/>
      <family val="2"/>
      <charset val="238"/>
    </font>
    <font>
      <sz val="11"/>
      <color rgb="FF7030A0"/>
      <name val="Arial"/>
      <family val="2"/>
      <charset val="238"/>
    </font>
    <font>
      <b/>
      <sz val="13"/>
      <color rgb="FFFFFFFF"/>
      <name val="Arial"/>
      <family val="2"/>
      <charset val="238"/>
    </font>
    <font>
      <b/>
      <sz val="13"/>
      <color rgb="FFC0000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C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rgb="FFFFFFFF"/>
      <name val="Arial CE"/>
      <charset val="238"/>
    </font>
    <font>
      <sz val="10"/>
      <color rgb="FF000000"/>
      <name val="Calibri"/>
      <family val="2"/>
      <charset val="238"/>
    </font>
    <font>
      <b/>
      <sz val="15"/>
      <color rgb="FFC00000"/>
      <name val="Arial"/>
      <family val="2"/>
      <charset val="238"/>
    </font>
    <font>
      <sz val="10"/>
      <color rgb="FF000000"/>
      <name val="Arial CE"/>
      <charset val="238"/>
    </font>
    <font>
      <b/>
      <sz val="12"/>
      <color rgb="FFC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6"/>
      <color rgb="FF993300"/>
      <name val="Arial"/>
      <family val="2"/>
      <charset val="238"/>
    </font>
    <font>
      <b/>
      <u/>
      <sz val="10"/>
      <color rgb="FF000000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b/>
      <u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2"/>
      <color theme="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C5D9F1"/>
        <bgColor rgb="FFC5D9F1"/>
      </patternFill>
    </fill>
    <fill>
      <patternFill patternType="solid">
        <fgColor rgb="FF538DD5"/>
        <bgColor rgb="FF538DD5"/>
      </patternFill>
    </fill>
    <fill>
      <patternFill patternType="solid">
        <fgColor rgb="FF8DB4E2"/>
        <bgColor rgb="FF8DB4E2"/>
      </patternFill>
    </fill>
    <fill>
      <patternFill patternType="solid">
        <fgColor rgb="FFFFFFFF"/>
        <bgColor rgb="FFFFFFFF"/>
      </patternFill>
    </fill>
    <fill>
      <patternFill patternType="solid">
        <fgColor rgb="FFDCE6F1"/>
        <bgColor rgb="FFDCE6F1"/>
      </patternFill>
    </fill>
    <fill>
      <patternFill patternType="solid">
        <fgColor rgb="FFF2F2F2"/>
        <bgColor rgb="FFF2F2F2"/>
      </patternFill>
    </fill>
    <fill>
      <patternFill patternType="solid">
        <fgColor rgb="FF1F4E78"/>
        <bgColor rgb="FF1F4E78"/>
      </patternFill>
    </fill>
    <fill>
      <patternFill patternType="solid">
        <fgColor rgb="FFB4C6E7"/>
        <bgColor rgb="FFB4C6E7"/>
      </patternFill>
    </fill>
    <fill>
      <patternFill patternType="solid">
        <fgColor rgb="FFB8CCE4"/>
        <bgColor rgb="FFB8CCE4"/>
      </patternFill>
    </fill>
    <fill>
      <patternFill patternType="solid">
        <fgColor rgb="FF548235"/>
        <bgColor rgb="FF548235"/>
      </patternFill>
    </fill>
    <fill>
      <patternFill patternType="solid">
        <fgColor rgb="FFA9D08E"/>
        <bgColor rgb="FFA9D08E"/>
      </patternFill>
    </fill>
    <fill>
      <patternFill patternType="solid">
        <fgColor theme="0"/>
        <bgColor rgb="FF366092"/>
      </patternFill>
    </fill>
    <fill>
      <patternFill patternType="solid">
        <fgColor theme="0"/>
        <bgColor rgb="FF8DB4E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366092"/>
      </patternFill>
    </fill>
    <fill>
      <patternFill patternType="solid">
        <fgColor rgb="FF92D050"/>
        <bgColor rgb="FFC5D9F1"/>
      </patternFill>
    </fill>
    <fill>
      <patternFill patternType="solid">
        <fgColor rgb="FFFFFF00"/>
        <bgColor rgb="FFC5D9F1"/>
      </patternFill>
    </fill>
    <fill>
      <patternFill patternType="solid">
        <fgColor theme="5" tint="-0.249977111117893"/>
        <bgColor rgb="FFFFFFFF"/>
      </patternFill>
    </fill>
    <fill>
      <patternFill patternType="solid">
        <fgColor theme="5" tint="-0.249977111117893"/>
        <bgColor rgb="FFC5D9F1"/>
      </patternFill>
    </fill>
    <fill>
      <patternFill patternType="solid">
        <fgColor theme="0"/>
        <bgColor rgb="FFB4C6E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rgb="FF366092"/>
      </patternFill>
    </fill>
    <fill>
      <patternFill patternType="solid">
        <fgColor theme="8" tint="-0.249977111117893"/>
        <bgColor indexed="64"/>
      </patternFill>
    </fill>
  </fills>
  <borders count="1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30">
    <xf numFmtId="0" fontId="0" fillId="0" borderId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11">
    <xf numFmtId="0" fontId="0" fillId="0" borderId="0" xfId="0"/>
    <xf numFmtId="0" fontId="7" fillId="0" borderId="0" xfId="0" applyFont="1"/>
    <xf numFmtId="0" fontId="9" fillId="2" borderId="1" xfId="0" applyFont="1" applyFill="1" applyBorder="1"/>
    <xf numFmtId="0" fontId="10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3" fontId="6" fillId="0" borderId="6" xfId="0" applyNumberFormat="1" applyFont="1" applyBorder="1"/>
    <xf numFmtId="3" fontId="6" fillId="0" borderId="7" xfId="0" applyNumberFormat="1" applyFont="1" applyBorder="1"/>
    <xf numFmtId="3" fontId="11" fillId="3" borderId="8" xfId="0" applyNumberFormat="1" applyFont="1" applyFill="1" applyBorder="1"/>
    <xf numFmtId="0" fontId="9" fillId="2" borderId="9" xfId="0" applyFont="1" applyFill="1" applyBorder="1" applyAlignment="1">
      <alignment horizontal="center"/>
    </xf>
    <xf numFmtId="0" fontId="10" fillId="2" borderId="10" xfId="0" applyFont="1" applyFill="1" applyBorder="1"/>
    <xf numFmtId="3" fontId="10" fillId="2" borderId="10" xfId="0" applyNumberFormat="1" applyFont="1" applyFill="1" applyBorder="1"/>
    <xf numFmtId="3" fontId="10" fillId="2" borderId="11" xfId="0" applyNumberFormat="1" applyFont="1" applyFill="1" applyBorder="1"/>
    <xf numFmtId="3" fontId="10" fillId="2" borderId="12" xfId="0" applyNumberFormat="1" applyFont="1" applyFill="1" applyBorder="1"/>
    <xf numFmtId="0" fontId="6" fillId="0" borderId="13" xfId="0" applyFont="1" applyBorder="1" applyAlignment="1">
      <alignment horizontal="center"/>
    </xf>
    <xf numFmtId="0" fontId="6" fillId="0" borderId="14" xfId="0" applyFont="1" applyBorder="1"/>
    <xf numFmtId="3" fontId="6" fillId="0" borderId="14" xfId="0" applyNumberFormat="1" applyFont="1" applyBorder="1"/>
    <xf numFmtId="3" fontId="6" fillId="0" borderId="15" xfId="0" applyNumberFormat="1" applyFont="1" applyBorder="1"/>
    <xf numFmtId="3" fontId="11" fillId="3" borderId="16" xfId="0" applyNumberFormat="1" applyFont="1" applyFill="1" applyBorder="1"/>
    <xf numFmtId="0" fontId="12" fillId="2" borderId="17" xfId="0" applyFont="1" applyFill="1" applyBorder="1" applyAlignment="1">
      <alignment horizontal="center"/>
    </xf>
    <xf numFmtId="0" fontId="10" fillId="2" borderId="18" xfId="0" applyFont="1" applyFill="1" applyBorder="1"/>
    <xf numFmtId="3" fontId="10" fillId="2" borderId="18" xfId="0" applyNumberFormat="1" applyFont="1" applyFill="1" applyBorder="1"/>
    <xf numFmtId="3" fontId="10" fillId="2" borderId="19" xfId="0" applyNumberFormat="1" applyFont="1" applyFill="1" applyBorder="1"/>
    <xf numFmtId="3" fontId="10" fillId="2" borderId="20" xfId="0" applyNumberFormat="1" applyFont="1" applyFill="1" applyBorder="1"/>
    <xf numFmtId="0" fontId="6" fillId="0" borderId="0" xfId="0" applyFont="1"/>
    <xf numFmtId="0" fontId="10" fillId="4" borderId="21" xfId="0" applyFont="1" applyFill="1" applyBorder="1"/>
    <xf numFmtId="0" fontId="10" fillId="4" borderId="22" xfId="0" applyFont="1" applyFill="1" applyBorder="1"/>
    <xf numFmtId="3" fontId="10" fillId="4" borderId="23" xfId="0" applyNumberFormat="1" applyFont="1" applyFill="1" applyBorder="1"/>
    <xf numFmtId="3" fontId="6" fillId="0" borderId="24" xfId="0" applyNumberFormat="1" applyFont="1" applyBorder="1"/>
    <xf numFmtId="3" fontId="6" fillId="0" borderId="25" xfId="0" applyNumberFormat="1" applyFont="1" applyBorder="1"/>
    <xf numFmtId="3" fontId="6" fillId="0" borderId="25" xfId="0" applyNumberFormat="1" applyFont="1" applyBorder="1" applyAlignment="1">
      <alignment horizontal="right"/>
    </xf>
    <xf numFmtId="0" fontId="6" fillId="0" borderId="26" xfId="0" applyFont="1" applyBorder="1"/>
    <xf numFmtId="0" fontId="6" fillId="0" borderId="27" xfId="0" applyFont="1" applyBorder="1"/>
    <xf numFmtId="3" fontId="6" fillId="0" borderId="28" xfId="0" applyNumberFormat="1" applyFont="1" applyBorder="1" applyAlignment="1">
      <alignment horizontal="right"/>
    </xf>
    <xf numFmtId="0" fontId="6" fillId="0" borderId="29" xfId="0" applyFont="1" applyBorder="1"/>
    <xf numFmtId="0" fontId="6" fillId="0" borderId="30" xfId="0" applyFont="1" applyBorder="1"/>
    <xf numFmtId="3" fontId="6" fillId="0" borderId="31" xfId="0" applyNumberFormat="1" applyFont="1" applyBorder="1" applyAlignment="1">
      <alignment horizontal="right"/>
    </xf>
    <xf numFmtId="0" fontId="14" fillId="0" borderId="0" xfId="0" applyFont="1"/>
    <xf numFmtId="3" fontId="11" fillId="0" borderId="0" xfId="0" applyNumberFormat="1" applyFont="1"/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0" fillId="2" borderId="32" xfId="0" applyFont="1" applyFill="1" applyBorder="1" applyAlignment="1">
      <alignment horizontal="left" vertical="center"/>
    </xf>
    <xf numFmtId="0" fontId="16" fillId="2" borderId="33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5" borderId="9" xfId="0" applyFont="1" applyFill="1" applyBorder="1" applyAlignment="1">
      <alignment horizontal="left" vertical="center" wrapText="1"/>
    </xf>
    <xf numFmtId="3" fontId="17" fillId="5" borderId="10" xfId="0" applyNumberFormat="1" applyFont="1" applyFill="1" applyBorder="1"/>
    <xf numFmtId="3" fontId="17" fillId="5" borderId="24" xfId="0" applyNumberFormat="1" applyFont="1" applyFill="1" applyBorder="1"/>
    <xf numFmtId="3" fontId="7" fillId="0" borderId="0" xfId="0" applyNumberFormat="1" applyFont="1"/>
    <xf numFmtId="0" fontId="17" fillId="5" borderId="5" xfId="0" applyFont="1" applyFill="1" applyBorder="1" applyAlignment="1">
      <alignment horizontal="left" vertical="center" wrapText="1"/>
    </xf>
    <xf numFmtId="3" fontId="17" fillId="5" borderId="6" xfId="0" applyNumberFormat="1" applyFont="1" applyFill="1" applyBorder="1"/>
    <xf numFmtId="3" fontId="17" fillId="5" borderId="25" xfId="0" applyNumberFormat="1" applyFont="1" applyFill="1" applyBorder="1"/>
    <xf numFmtId="0" fontId="15" fillId="0" borderId="5" xfId="0" applyFont="1" applyBorder="1" applyAlignment="1">
      <alignment horizontal="left" vertical="center" wrapText="1"/>
    </xf>
    <xf numFmtId="3" fontId="15" fillId="0" borderId="6" xfId="0" applyNumberFormat="1" applyFont="1" applyBorder="1"/>
    <xf numFmtId="3" fontId="15" fillId="0" borderId="25" xfId="0" applyNumberFormat="1" applyFont="1" applyBorder="1"/>
    <xf numFmtId="0" fontId="9" fillId="0" borderId="0" xfId="0" applyFont="1"/>
    <xf numFmtId="0" fontId="18" fillId="0" borderId="5" xfId="0" applyFont="1" applyBorder="1" applyAlignment="1">
      <alignment horizontal="left" vertical="center" wrapText="1"/>
    </xf>
    <xf numFmtId="3" fontId="19" fillId="0" borderId="6" xfId="0" applyNumberFormat="1" applyFont="1" applyBorder="1"/>
    <xf numFmtId="3" fontId="15" fillId="6" borderId="25" xfId="0" applyNumberFormat="1" applyFont="1" applyFill="1" applyBorder="1"/>
    <xf numFmtId="3" fontId="9" fillId="0" borderId="0" xfId="0" applyNumberFormat="1" applyFont="1"/>
    <xf numFmtId="0" fontId="10" fillId="2" borderId="5" xfId="0" applyFont="1" applyFill="1" applyBorder="1" applyAlignment="1">
      <alignment horizontal="left" vertical="center" wrapText="1"/>
    </xf>
    <xf numFmtId="3" fontId="10" fillId="2" borderId="6" xfId="0" applyNumberFormat="1" applyFont="1" applyFill="1" applyBorder="1"/>
    <xf numFmtId="3" fontId="10" fillId="2" borderId="25" xfId="0" applyNumberFormat="1" applyFont="1" applyFill="1" applyBorder="1"/>
    <xf numFmtId="3" fontId="14" fillId="0" borderId="0" xfId="0" applyNumberFormat="1" applyFont="1"/>
    <xf numFmtId="0" fontId="7" fillId="0" borderId="0" xfId="0" applyFont="1" applyAlignment="1">
      <alignment vertical="center"/>
    </xf>
    <xf numFmtId="0" fontId="10" fillId="2" borderId="34" xfId="0" applyFont="1" applyFill="1" applyBorder="1" applyAlignment="1">
      <alignment horizontal="left" vertical="center" wrapText="1"/>
    </xf>
    <xf numFmtId="3" fontId="10" fillId="2" borderId="35" xfId="0" applyNumberFormat="1" applyFont="1" applyFill="1" applyBorder="1" applyAlignment="1">
      <alignment vertical="center"/>
    </xf>
    <xf numFmtId="3" fontId="10" fillId="2" borderId="31" xfId="0" applyNumberFormat="1" applyFont="1" applyFill="1" applyBorder="1" applyAlignment="1">
      <alignment vertical="center"/>
    </xf>
    <xf numFmtId="0" fontId="17" fillId="6" borderId="0" xfId="0" applyFont="1" applyFill="1" applyAlignment="1">
      <alignment horizontal="center" vertical="center" wrapText="1"/>
    </xf>
    <xf numFmtId="3" fontId="17" fillId="6" borderId="0" xfId="0" applyNumberFormat="1" applyFont="1" applyFill="1"/>
    <xf numFmtId="3" fontId="15" fillId="6" borderId="0" xfId="0" applyNumberFormat="1" applyFont="1" applyFill="1"/>
    <xf numFmtId="0" fontId="7" fillId="6" borderId="0" xfId="0" applyFont="1" applyFill="1"/>
    <xf numFmtId="0" fontId="17" fillId="6" borderId="5" xfId="0" applyFont="1" applyFill="1" applyBorder="1" applyAlignment="1">
      <alignment horizontal="left" vertical="center" wrapText="1"/>
    </xf>
    <xf numFmtId="3" fontId="15" fillId="6" borderId="6" xfId="0" applyNumberFormat="1" applyFont="1" applyFill="1" applyBorder="1"/>
    <xf numFmtId="3" fontId="10" fillId="6" borderId="0" xfId="0" applyNumberFormat="1" applyFont="1" applyFill="1"/>
    <xf numFmtId="3" fontId="10" fillId="6" borderId="0" xfId="0" applyNumberFormat="1" applyFont="1" applyFill="1" applyAlignment="1">
      <alignment vertical="center"/>
    </xf>
    <xf numFmtId="0" fontId="16" fillId="2" borderId="36" xfId="0" applyFont="1" applyFill="1" applyBorder="1" applyAlignment="1">
      <alignment horizontal="center" vertical="center" wrapText="1"/>
    </xf>
    <xf numFmtId="3" fontId="17" fillId="5" borderId="37" xfId="0" applyNumberFormat="1" applyFont="1" applyFill="1" applyBorder="1"/>
    <xf numFmtId="3" fontId="17" fillId="5" borderId="38" xfId="0" applyNumberFormat="1" applyFont="1" applyFill="1" applyBorder="1"/>
    <xf numFmtId="3" fontId="15" fillId="0" borderId="38" xfId="0" applyNumberFormat="1" applyFont="1" applyBorder="1"/>
    <xf numFmtId="3" fontId="17" fillId="6" borderId="6" xfId="0" applyNumberFormat="1" applyFont="1" applyFill="1" applyBorder="1"/>
    <xf numFmtId="3" fontId="17" fillId="6" borderId="25" xfId="0" applyNumberFormat="1" applyFont="1" applyFill="1" applyBorder="1"/>
    <xf numFmtId="0" fontId="10" fillId="2" borderId="23" xfId="0" applyFont="1" applyFill="1" applyBorder="1" applyAlignment="1">
      <alignment horizontal="center" vertical="center" wrapText="1"/>
    </xf>
    <xf numFmtId="3" fontId="10" fillId="2" borderId="24" xfId="0" applyNumberFormat="1" applyFont="1" applyFill="1" applyBorder="1"/>
    <xf numFmtId="3" fontId="14" fillId="0" borderId="25" xfId="0" applyNumberFormat="1" applyFont="1" applyBorder="1"/>
    <xf numFmtId="3" fontId="11" fillId="6" borderId="25" xfId="0" applyNumberFormat="1" applyFont="1" applyFill="1" applyBorder="1"/>
    <xf numFmtId="164" fontId="18" fillId="2" borderId="17" xfId="0" applyNumberFormat="1" applyFont="1" applyFill="1" applyBorder="1" applyAlignment="1">
      <alignment horizontal="left" vertical="center" wrapText="1"/>
    </xf>
    <xf numFmtId="3" fontId="18" fillId="2" borderId="18" xfId="0" applyNumberFormat="1" applyFont="1" applyFill="1" applyBorder="1" applyAlignment="1">
      <alignment vertical="center"/>
    </xf>
    <xf numFmtId="3" fontId="10" fillId="2" borderId="39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0" fillId="0" borderId="0" xfId="0" applyFont="1"/>
    <xf numFmtId="3" fontId="21" fillId="2" borderId="23" xfId="0" applyNumberFormat="1" applyFont="1" applyFill="1" applyBorder="1" applyAlignment="1">
      <alignment vertical="center"/>
    </xf>
    <xf numFmtId="3" fontId="11" fillId="5" borderId="24" xfId="0" applyNumberFormat="1" applyFont="1" applyFill="1" applyBorder="1" applyAlignment="1">
      <alignment horizontal="right"/>
    </xf>
    <xf numFmtId="3" fontId="15" fillId="0" borderId="25" xfId="0" applyNumberFormat="1" applyFont="1" applyBorder="1" applyAlignment="1">
      <alignment horizontal="right"/>
    </xf>
    <xf numFmtId="3" fontId="11" fillId="5" borderId="25" xfId="0" applyNumberFormat="1" applyFont="1" applyFill="1" applyBorder="1" applyAlignment="1">
      <alignment horizontal="right"/>
    </xf>
    <xf numFmtId="3" fontId="15" fillId="0" borderId="25" xfId="0" applyNumberFormat="1" applyFont="1" applyBorder="1" applyAlignment="1">
      <alignment horizontal="right" vertical="center"/>
    </xf>
    <xf numFmtId="3" fontId="15" fillId="0" borderId="28" xfId="0" applyNumberFormat="1" applyFont="1" applyBorder="1" applyAlignment="1">
      <alignment horizontal="right"/>
    </xf>
    <xf numFmtId="3" fontId="15" fillId="0" borderId="41" xfId="0" applyNumberFormat="1" applyFont="1" applyBorder="1" applyAlignment="1">
      <alignment horizontal="right"/>
    </xf>
    <xf numFmtId="3" fontId="15" fillId="0" borderId="25" xfId="0" applyNumberFormat="1" applyFont="1" applyBorder="1" applyAlignment="1" applyProtection="1">
      <alignment horizontal="right"/>
      <protection locked="0"/>
    </xf>
    <xf numFmtId="3" fontId="15" fillId="0" borderId="31" xfId="0" applyNumberFormat="1" applyFont="1" applyBorder="1" applyAlignment="1">
      <alignment horizontal="right"/>
    </xf>
    <xf numFmtId="0" fontId="17" fillId="5" borderId="13" xfId="0" applyFont="1" applyFill="1" applyBorder="1" applyAlignment="1">
      <alignment horizontal="left" vertical="center" wrapText="1"/>
    </xf>
    <xf numFmtId="3" fontId="17" fillId="5" borderId="14" xfId="0" applyNumberFormat="1" applyFont="1" applyFill="1" applyBorder="1"/>
    <xf numFmtId="0" fontId="22" fillId="2" borderId="17" xfId="0" applyFont="1" applyFill="1" applyBorder="1" applyAlignment="1">
      <alignment horizontal="left" vertical="center" wrapText="1"/>
    </xf>
    <xf numFmtId="3" fontId="10" fillId="2" borderId="18" xfId="0" applyNumberFormat="1" applyFont="1" applyFill="1" applyBorder="1" applyAlignment="1">
      <alignment vertical="center"/>
    </xf>
    <xf numFmtId="0" fontId="16" fillId="2" borderId="42" xfId="0" applyFont="1" applyFill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/>
    </xf>
    <xf numFmtId="3" fontId="17" fillId="5" borderId="44" xfId="0" applyNumberFormat="1" applyFont="1" applyFill="1" applyBorder="1"/>
    <xf numFmtId="3" fontId="17" fillId="5" borderId="12" xfId="0" applyNumberFormat="1" applyFont="1" applyFill="1" applyBorder="1"/>
    <xf numFmtId="3" fontId="17" fillId="5" borderId="7" xfId="0" applyNumberFormat="1" applyFont="1" applyFill="1" applyBorder="1"/>
    <xf numFmtId="3" fontId="17" fillId="5" borderId="8" xfId="0" applyNumberFormat="1" applyFont="1" applyFill="1" applyBorder="1"/>
    <xf numFmtId="3" fontId="15" fillId="0" borderId="7" xfId="0" applyNumberFormat="1" applyFont="1" applyBorder="1"/>
    <xf numFmtId="3" fontId="15" fillId="0" borderId="8" xfId="0" applyNumberFormat="1" applyFont="1" applyBorder="1"/>
    <xf numFmtId="3" fontId="17" fillId="5" borderId="15" xfId="0" applyNumberFormat="1" applyFont="1" applyFill="1" applyBorder="1"/>
    <xf numFmtId="3" fontId="17" fillId="5" borderId="16" xfId="0" applyNumberFormat="1" applyFont="1" applyFill="1" applyBorder="1"/>
    <xf numFmtId="3" fontId="10" fillId="2" borderId="19" xfId="0" applyNumberFormat="1" applyFont="1" applyFill="1" applyBorder="1" applyAlignment="1">
      <alignment vertical="center"/>
    </xf>
    <xf numFmtId="3" fontId="10" fillId="2" borderId="20" xfId="0" applyNumberFormat="1" applyFont="1" applyFill="1" applyBorder="1" applyAlignment="1">
      <alignment vertical="center"/>
    </xf>
    <xf numFmtId="0" fontId="6" fillId="0" borderId="0" xfId="0" applyFont="1" applyAlignment="1">
      <alignment horizontal="right"/>
    </xf>
    <xf numFmtId="3" fontId="6" fillId="0" borderId="24" xfId="0" applyNumberFormat="1" applyFont="1" applyBorder="1" applyAlignment="1">
      <alignment vertical="center"/>
    </xf>
    <xf numFmtId="3" fontId="6" fillId="0" borderId="25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3" fontId="6" fillId="0" borderId="25" xfId="0" applyNumberFormat="1" applyFont="1" applyBorder="1" applyAlignment="1">
      <alignment horizontal="right" vertical="center" wrapText="1"/>
    </xf>
    <xf numFmtId="3" fontId="6" fillId="0" borderId="25" xfId="0" applyNumberFormat="1" applyFont="1" applyBorder="1" applyAlignment="1">
      <alignment horizontal="right" vertical="center"/>
    </xf>
    <xf numFmtId="0" fontId="6" fillId="0" borderId="46" xfId="0" applyFont="1" applyBorder="1"/>
    <xf numFmtId="0" fontId="6" fillId="0" borderId="47" xfId="0" applyFont="1" applyBorder="1"/>
    <xf numFmtId="0" fontId="6" fillId="0" borderId="0" xfId="0" applyFont="1" applyAlignment="1">
      <alignment vertical="center"/>
    </xf>
    <xf numFmtId="3" fontId="10" fillId="2" borderId="49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2" fillId="2" borderId="32" xfId="0" applyFont="1" applyFill="1" applyBorder="1" applyAlignment="1">
      <alignment horizontal="left" vertical="center"/>
    </xf>
    <xf numFmtId="0" fontId="22" fillId="2" borderId="23" xfId="0" applyFont="1" applyFill="1" applyBorder="1" applyAlignment="1">
      <alignment horizontal="center" vertical="center"/>
    </xf>
    <xf numFmtId="3" fontId="17" fillId="5" borderId="10" xfId="0" applyNumberFormat="1" applyFont="1" applyFill="1" applyBorder="1" applyAlignment="1">
      <alignment vertical="center"/>
    </xf>
    <xf numFmtId="3" fontId="17" fillId="5" borderId="24" xfId="0" applyNumberFormat="1" applyFont="1" applyFill="1" applyBorder="1" applyAlignment="1">
      <alignment vertical="center"/>
    </xf>
    <xf numFmtId="3" fontId="17" fillId="5" borderId="6" xfId="0" applyNumberFormat="1" applyFont="1" applyFill="1" applyBorder="1" applyAlignment="1">
      <alignment vertical="center"/>
    </xf>
    <xf numFmtId="3" fontId="17" fillId="5" borderId="25" xfId="0" applyNumberFormat="1" applyFont="1" applyFill="1" applyBorder="1" applyAlignment="1">
      <alignment vertical="center"/>
    </xf>
    <xf numFmtId="3" fontId="15" fillId="0" borderId="6" xfId="0" applyNumberFormat="1" applyFont="1" applyBorder="1" applyAlignment="1">
      <alignment vertical="center"/>
    </xf>
    <xf numFmtId="3" fontId="17" fillId="0" borderId="25" xfId="0" applyNumberFormat="1" applyFont="1" applyBorder="1" applyAlignment="1">
      <alignment vertical="center"/>
    </xf>
    <xf numFmtId="3" fontId="17" fillId="5" borderId="28" xfId="0" applyNumberFormat="1" applyFont="1" applyFill="1" applyBorder="1"/>
    <xf numFmtId="0" fontId="22" fillId="2" borderId="50" xfId="0" applyFont="1" applyFill="1" applyBorder="1" applyAlignment="1">
      <alignment horizontal="left" vertical="center" wrapText="1"/>
    </xf>
    <xf numFmtId="3" fontId="22" fillId="2" borderId="51" xfId="0" applyNumberFormat="1" applyFont="1" applyFill="1" applyBorder="1" applyAlignment="1">
      <alignment vertical="center"/>
    </xf>
    <xf numFmtId="3" fontId="22" fillId="2" borderId="52" xfId="0" applyNumberFormat="1" applyFont="1" applyFill="1" applyBorder="1" applyAlignment="1">
      <alignment vertical="center"/>
    </xf>
    <xf numFmtId="0" fontId="17" fillId="5" borderId="53" xfId="0" applyFont="1" applyFill="1" applyBorder="1" applyAlignment="1">
      <alignment horizontal="left" vertical="center" wrapText="1"/>
    </xf>
    <xf numFmtId="3" fontId="17" fillId="5" borderId="54" xfId="0" applyNumberFormat="1" applyFont="1" applyFill="1" applyBorder="1"/>
    <xf numFmtId="3" fontId="17" fillId="5" borderId="48" xfId="0" applyNumberFormat="1" applyFont="1" applyFill="1" applyBorder="1"/>
    <xf numFmtId="0" fontId="22" fillId="2" borderId="55" xfId="0" applyFont="1" applyFill="1" applyBorder="1" applyAlignment="1">
      <alignment horizontal="left" vertical="center" wrapText="1"/>
    </xf>
    <xf numFmtId="3" fontId="22" fillId="2" borderId="56" xfId="0" applyNumberFormat="1" applyFont="1" applyFill="1" applyBorder="1" applyAlignment="1">
      <alignment vertical="center"/>
    </xf>
    <xf numFmtId="3" fontId="22" fillId="2" borderId="49" xfId="0" applyNumberFormat="1" applyFont="1" applyFill="1" applyBorder="1" applyAlignment="1">
      <alignment vertical="center"/>
    </xf>
    <xf numFmtId="3" fontId="6" fillId="0" borderId="0" xfId="0" applyNumberFormat="1" applyFont="1"/>
    <xf numFmtId="0" fontId="6" fillId="0" borderId="0" xfId="2" applyFont="1" applyFill="1" applyAlignment="1"/>
    <xf numFmtId="0" fontId="6" fillId="0" borderId="0" xfId="2" applyFont="1" applyFill="1" applyAlignment="1">
      <alignment vertical="center"/>
    </xf>
    <xf numFmtId="0" fontId="0" fillId="0" borderId="0" xfId="0" applyFill="1"/>
    <xf numFmtId="0" fontId="8" fillId="0" borderId="0" xfId="0" applyFont="1"/>
    <xf numFmtId="0" fontId="22" fillId="2" borderId="54" xfId="0" applyFont="1" applyFill="1" applyBorder="1" applyAlignment="1">
      <alignment horizontal="left" vertical="center"/>
    </xf>
    <xf numFmtId="3" fontId="6" fillId="0" borderId="62" xfId="0" applyNumberFormat="1" applyFont="1" applyBorder="1"/>
    <xf numFmtId="3" fontId="6" fillId="0" borderId="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 wrapText="1"/>
    </xf>
    <xf numFmtId="3" fontId="6" fillId="0" borderId="14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3" fontId="6" fillId="0" borderId="54" xfId="0" applyNumberFormat="1" applyFont="1" applyBorder="1" applyAlignment="1">
      <alignment horizontal="right" vertical="center" wrapText="1"/>
    </xf>
    <xf numFmtId="3" fontId="22" fillId="2" borderId="62" xfId="0" applyNumberFormat="1" applyFont="1" applyFill="1" applyBorder="1" applyAlignment="1">
      <alignment vertical="center"/>
    </xf>
    <xf numFmtId="0" fontId="18" fillId="2" borderId="54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left" vertical="center" wrapText="1"/>
    </xf>
    <xf numFmtId="3" fontId="14" fillId="3" borderId="62" xfId="0" applyNumberFormat="1" applyFont="1" applyFill="1" applyBorder="1"/>
    <xf numFmtId="0" fontId="14" fillId="3" borderId="6" xfId="0" applyFont="1" applyFill="1" applyBorder="1" applyAlignment="1">
      <alignment horizontal="left" vertical="center" wrapText="1"/>
    </xf>
    <xf numFmtId="3" fontId="14" fillId="3" borderId="6" xfId="0" applyNumberFormat="1" applyFont="1" applyFill="1" applyBorder="1"/>
    <xf numFmtId="0" fontId="6" fillId="0" borderId="6" xfId="0" applyFont="1" applyBorder="1" applyAlignment="1">
      <alignment horizontal="left" vertical="center" wrapText="1"/>
    </xf>
    <xf numFmtId="0" fontId="14" fillId="3" borderId="54" xfId="0" applyFont="1" applyFill="1" applyBorder="1" applyAlignment="1">
      <alignment horizontal="left" vertical="center" wrapText="1"/>
    </xf>
    <xf numFmtId="3" fontId="14" fillId="3" borderId="54" xfId="0" applyNumberFormat="1" applyFont="1" applyFill="1" applyBorder="1"/>
    <xf numFmtId="0" fontId="22" fillId="2" borderId="62" xfId="0" applyFont="1" applyFill="1" applyBorder="1" applyAlignment="1">
      <alignment horizontal="left" vertical="center" wrapText="1"/>
    </xf>
    <xf numFmtId="4" fontId="6" fillId="0" borderId="0" xfId="0" applyNumberFormat="1" applyFont="1"/>
    <xf numFmtId="0" fontId="14" fillId="3" borderId="14" xfId="0" applyFont="1" applyFill="1" applyBorder="1" applyAlignment="1">
      <alignment horizontal="left" vertical="center" wrapText="1"/>
    </xf>
    <xf numFmtId="3" fontId="14" fillId="3" borderId="14" xfId="0" applyNumberFormat="1" applyFont="1" applyFill="1" applyBorder="1"/>
    <xf numFmtId="0" fontId="6" fillId="0" borderId="7" xfId="0" applyFont="1" applyBorder="1"/>
    <xf numFmtId="0" fontId="6" fillId="0" borderId="64" xfId="0" applyFont="1" applyBorder="1"/>
    <xf numFmtId="0" fontId="6" fillId="0" borderId="38" xfId="0" applyFont="1" applyBorder="1"/>
    <xf numFmtId="3" fontId="6" fillId="0" borderId="6" xfId="0" applyNumberFormat="1" applyFont="1" applyBorder="1" applyAlignment="1">
      <alignment horizontal="right"/>
    </xf>
    <xf numFmtId="0" fontId="6" fillId="0" borderId="65" xfId="0" applyFont="1" applyBorder="1"/>
    <xf numFmtId="3" fontId="6" fillId="0" borderId="54" xfId="0" applyNumberFormat="1" applyFont="1" applyBorder="1" applyAlignment="1">
      <alignment horizontal="right"/>
    </xf>
    <xf numFmtId="0" fontId="6" fillId="0" borderId="15" xfId="0" applyFont="1" applyBorder="1"/>
    <xf numFmtId="0" fontId="6" fillId="0" borderId="63" xfId="0" applyFont="1" applyBorder="1"/>
    <xf numFmtId="3" fontId="6" fillId="0" borderId="14" xfId="0" applyNumberFormat="1" applyFont="1" applyBorder="1" applyAlignment="1">
      <alignment horizontal="right"/>
    </xf>
    <xf numFmtId="3" fontId="6" fillId="0" borderId="62" xfId="0" applyNumberFormat="1" applyFont="1" applyBorder="1" applyAlignment="1">
      <alignment horizontal="right"/>
    </xf>
    <xf numFmtId="3" fontId="22" fillId="2" borderId="62" xfId="0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left" wrapText="1"/>
    </xf>
    <xf numFmtId="0" fontId="6" fillId="0" borderId="64" xfId="0" applyFont="1" applyBorder="1" applyAlignment="1">
      <alignment horizontal="left" wrapText="1"/>
    </xf>
    <xf numFmtId="0" fontId="6" fillId="0" borderId="38" xfId="0" applyFont="1" applyBorder="1" applyAlignment="1">
      <alignment horizontal="left" wrapText="1"/>
    </xf>
    <xf numFmtId="3" fontId="6" fillId="0" borderId="54" xfId="0" applyNumberFormat="1" applyFont="1" applyBorder="1"/>
    <xf numFmtId="4" fontId="6" fillId="0" borderId="0" xfId="0" applyNumberFormat="1" applyFont="1" applyAlignment="1">
      <alignment horizontal="right"/>
    </xf>
    <xf numFmtId="164" fontId="14" fillId="3" borderId="6" xfId="0" applyNumberFormat="1" applyFont="1" applyFill="1" applyBorder="1" applyAlignment="1">
      <alignment horizontal="left" vertical="center" wrapText="1"/>
    </xf>
    <xf numFmtId="3" fontId="14" fillId="3" borderId="6" xfId="0" applyNumberFormat="1" applyFont="1" applyFill="1" applyBorder="1" applyAlignment="1">
      <alignment vertical="center"/>
    </xf>
    <xf numFmtId="3" fontId="6" fillId="0" borderId="0" xfId="0" applyNumberFormat="1" applyFont="1" applyAlignment="1">
      <alignment horizontal="center" vertical="center" wrapText="1"/>
    </xf>
    <xf numFmtId="3" fontId="10" fillId="2" borderId="62" xfId="0" applyNumberFormat="1" applyFont="1" applyFill="1" applyBorder="1" applyAlignment="1">
      <alignment horizontal="right" vertical="center"/>
    </xf>
    <xf numFmtId="3" fontId="10" fillId="2" borderId="62" xfId="0" applyNumberFormat="1" applyFont="1" applyFill="1" applyBorder="1" applyAlignment="1">
      <alignment vertical="center"/>
    </xf>
    <xf numFmtId="0" fontId="14" fillId="0" borderId="6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" fontId="6" fillId="0" borderId="66" xfId="0" applyNumberFormat="1" applyFont="1" applyBorder="1"/>
    <xf numFmtId="0" fontId="10" fillId="2" borderId="62" xfId="0" applyFont="1" applyFill="1" applyBorder="1" applyAlignment="1">
      <alignment horizontal="left" vertical="center" wrapText="1"/>
    </xf>
    <xf numFmtId="3" fontId="14" fillId="0" borderId="66" xfId="0" applyNumberFormat="1" applyFont="1" applyBorder="1"/>
    <xf numFmtId="3" fontId="10" fillId="2" borderId="62" xfId="0" applyNumberFormat="1" applyFont="1" applyFill="1" applyBorder="1"/>
    <xf numFmtId="0" fontId="15" fillId="0" borderId="67" xfId="0" applyFont="1" applyBorder="1" applyAlignment="1">
      <alignment horizontal="center"/>
    </xf>
    <xf numFmtId="0" fontId="15" fillId="0" borderId="67" xfId="0" applyFont="1" applyBorder="1"/>
    <xf numFmtId="4" fontId="15" fillId="0" borderId="67" xfId="0" applyNumberFormat="1" applyFont="1" applyBorder="1"/>
    <xf numFmtId="0" fontId="18" fillId="2" borderId="1" xfId="0" applyFont="1" applyFill="1" applyBorder="1" applyAlignment="1">
      <alignment horizontal="center" vertical="center"/>
    </xf>
    <xf numFmtId="4" fontId="18" fillId="2" borderId="68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3" fontId="14" fillId="3" borderId="25" xfId="0" applyNumberFormat="1" applyFont="1" applyFill="1" applyBorder="1" applyAlignment="1">
      <alignment vertical="center"/>
    </xf>
    <xf numFmtId="0" fontId="25" fillId="0" borderId="0" xfId="0" applyFont="1"/>
    <xf numFmtId="0" fontId="6" fillId="0" borderId="5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3" fontId="28" fillId="2" borderId="31" xfId="0" applyNumberFormat="1" applyFont="1" applyFill="1" applyBorder="1" applyAlignment="1">
      <alignment vertical="center"/>
    </xf>
    <xf numFmtId="4" fontId="7" fillId="0" borderId="0" xfId="0" applyNumberFormat="1" applyFont="1"/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30" fillId="0" borderId="0" xfId="0" applyFont="1"/>
    <xf numFmtId="3" fontId="15" fillId="0" borderId="0" xfId="0" applyNumberFormat="1" applyFont="1"/>
    <xf numFmtId="0" fontId="7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10" fillId="2" borderId="34" xfId="0" applyFont="1" applyFill="1" applyBorder="1" applyAlignment="1">
      <alignment vertical="center"/>
    </xf>
    <xf numFmtId="0" fontId="10" fillId="2" borderId="35" xfId="0" applyFont="1" applyFill="1" applyBorder="1" applyAlignment="1">
      <alignment vertical="center"/>
    </xf>
    <xf numFmtId="3" fontId="6" fillId="0" borderId="0" xfId="0" applyNumberFormat="1" applyFont="1" applyAlignment="1">
      <alignment horizontal="right" textRotation="180"/>
    </xf>
    <xf numFmtId="0" fontId="26" fillId="0" borderId="0" xfId="0" applyFont="1"/>
    <xf numFmtId="0" fontId="7" fillId="0" borderId="0" xfId="11" applyFont="1" applyFill="1" applyAlignment="1"/>
    <xf numFmtId="0" fontId="7" fillId="0" borderId="0" xfId="11" applyFont="1" applyFill="1" applyAlignment="1">
      <alignment horizontal="center"/>
    </xf>
    <xf numFmtId="0" fontId="6" fillId="0" borderId="0" xfId="11" applyFont="1" applyFill="1" applyAlignment="1">
      <alignment horizontal="right" vertical="center"/>
    </xf>
    <xf numFmtId="0" fontId="10" fillId="2" borderId="1" xfId="11" applyFont="1" applyFill="1" applyBorder="1" applyAlignment="1">
      <alignment horizontal="center" vertical="center"/>
    </xf>
    <xf numFmtId="0" fontId="10" fillId="2" borderId="2" xfId="11" applyFont="1" applyFill="1" applyBorder="1" applyAlignment="1">
      <alignment vertical="center"/>
    </xf>
    <xf numFmtId="0" fontId="10" fillId="2" borderId="68" xfId="11" applyFont="1" applyFill="1" applyBorder="1" applyAlignment="1">
      <alignment horizontal="center" vertical="center" wrapText="1"/>
    </xf>
    <xf numFmtId="4" fontId="11" fillId="6" borderId="0" xfId="11" applyNumberFormat="1" applyFont="1" applyFill="1" applyAlignment="1">
      <alignment horizontal="center" vertical="center" wrapText="1"/>
    </xf>
    <xf numFmtId="0" fontId="6" fillId="0" borderId="5" xfId="11" applyFont="1" applyFill="1" applyBorder="1" applyAlignment="1">
      <alignment horizontal="center"/>
    </xf>
    <xf numFmtId="0" fontId="7" fillId="0" borderId="0" xfId="11" applyFont="1" applyFill="1" applyAlignment="1">
      <alignment vertical="center"/>
    </xf>
    <xf numFmtId="0" fontId="7" fillId="0" borderId="34" xfId="11" applyFont="1" applyFill="1" applyBorder="1" applyAlignment="1"/>
    <xf numFmtId="0" fontId="21" fillId="2" borderId="35" xfId="11" applyFont="1" applyFill="1" applyBorder="1" applyAlignment="1">
      <alignment vertical="center"/>
    </xf>
    <xf numFmtId="3" fontId="21" fillId="2" borderId="31" xfId="11" applyNumberFormat="1" applyFont="1" applyFill="1" applyBorder="1" applyAlignment="1">
      <alignment horizontal="right" vertical="center"/>
    </xf>
    <xf numFmtId="0" fontId="8" fillId="0" borderId="0" xfId="11" applyFont="1" applyFill="1" applyAlignment="1">
      <alignment horizontal="center" vertical="center"/>
    </xf>
    <xf numFmtId="3" fontId="7" fillId="0" borderId="0" xfId="11" applyNumberFormat="1" applyFont="1" applyFill="1" applyAlignment="1"/>
    <xf numFmtId="3" fontId="0" fillId="0" borderId="0" xfId="0" applyNumberFormat="1"/>
    <xf numFmtId="0" fontId="34" fillId="0" borderId="0" xfId="0" applyFont="1" applyAlignment="1">
      <alignment wrapText="1" shrinkToFit="1"/>
    </xf>
    <xf numFmtId="0" fontId="0" fillId="0" borderId="0" xfId="0" applyAlignment="1">
      <alignment shrinkToFit="1"/>
    </xf>
    <xf numFmtId="4" fontId="35" fillId="0" borderId="0" xfId="0" applyNumberFormat="1" applyFont="1"/>
    <xf numFmtId="0" fontId="6" fillId="0" borderId="6" xfId="0" applyFont="1" applyBorder="1" applyAlignment="1">
      <alignment vertical="center" wrapText="1"/>
    </xf>
    <xf numFmtId="4" fontId="36" fillId="6" borderId="0" xfId="0" applyNumberFormat="1" applyFont="1" applyFill="1"/>
    <xf numFmtId="166" fontId="38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3" fontId="15" fillId="0" borderId="0" xfId="0" applyNumberFormat="1" applyFont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3" fontId="10" fillId="2" borderId="68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3" fontId="6" fillId="6" borderId="25" xfId="0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 wrapText="1"/>
    </xf>
    <xf numFmtId="0" fontId="21" fillId="2" borderId="34" xfId="0" applyFont="1" applyFill="1" applyBorder="1" applyAlignment="1">
      <alignment vertical="center"/>
    </xf>
    <xf numFmtId="3" fontId="21" fillId="2" borderId="31" xfId="0" applyNumberFormat="1" applyFont="1" applyFill="1" applyBorder="1" applyAlignment="1">
      <alignment horizontal="right" vertical="center"/>
    </xf>
    <xf numFmtId="0" fontId="7" fillId="0" borderId="0" xfId="12" applyFont="1" applyFill="1" applyAlignment="1"/>
    <xf numFmtId="0" fontId="7" fillId="0" borderId="0" xfId="12" applyFont="1" applyFill="1" applyAlignment="1">
      <alignment horizontal="right"/>
    </xf>
    <xf numFmtId="0" fontId="6" fillId="0" borderId="0" xfId="12" applyFont="1" applyFill="1" applyAlignment="1">
      <alignment horizontal="right"/>
    </xf>
    <xf numFmtId="0" fontId="7" fillId="0" borderId="0" xfId="12" applyFont="1" applyFill="1" applyAlignment="1">
      <alignment horizontal="center"/>
    </xf>
    <xf numFmtId="0" fontId="15" fillId="0" borderId="0" xfId="12" applyFont="1" applyFill="1" applyAlignment="1">
      <alignment horizontal="right"/>
    </xf>
    <xf numFmtId="0" fontId="10" fillId="2" borderId="1" xfId="12" applyFont="1" applyFill="1" applyBorder="1" applyAlignment="1">
      <alignment horizontal="center" vertical="center"/>
    </xf>
    <xf numFmtId="0" fontId="10" fillId="2" borderId="33" xfId="12" applyFont="1" applyFill="1" applyBorder="1" applyAlignment="1">
      <alignment vertical="center"/>
    </xf>
    <xf numFmtId="0" fontId="10" fillId="2" borderId="2" xfId="12" applyFont="1" applyFill="1" applyBorder="1" applyAlignment="1">
      <alignment vertical="center"/>
    </xf>
    <xf numFmtId="0" fontId="10" fillId="2" borderId="23" xfId="12" applyFont="1" applyFill="1" applyBorder="1" applyAlignment="1">
      <alignment horizontal="center" vertical="center" wrapText="1"/>
    </xf>
    <xf numFmtId="4" fontId="11" fillId="6" borderId="0" xfId="12" applyNumberFormat="1" applyFont="1" applyFill="1" applyAlignment="1">
      <alignment horizontal="center" vertical="center" wrapText="1"/>
    </xf>
    <xf numFmtId="0" fontId="6" fillId="0" borderId="69" xfId="12" applyFont="1" applyFill="1" applyBorder="1" applyAlignment="1">
      <alignment horizontal="center" vertical="center" wrapText="1"/>
    </xf>
    <xf numFmtId="0" fontId="7" fillId="0" borderId="0" xfId="12" applyFont="1" applyFill="1" applyAlignment="1">
      <alignment vertical="center" wrapText="1"/>
    </xf>
    <xf numFmtId="0" fontId="21" fillId="2" borderId="34" xfId="12" applyFont="1" applyFill="1" applyBorder="1" applyAlignment="1">
      <alignment horizontal="left" vertical="center"/>
    </xf>
    <xf numFmtId="3" fontId="21" fillId="2" borderId="31" xfId="12" applyNumberFormat="1" applyFont="1" applyFill="1" applyBorder="1" applyAlignment="1">
      <alignment horizontal="right" vertical="center"/>
    </xf>
    <xf numFmtId="49" fontId="10" fillId="2" borderId="68" xfId="0" applyNumberFormat="1" applyFont="1" applyFill="1" applyBorder="1" applyAlignment="1">
      <alignment horizontal="center"/>
    </xf>
    <xf numFmtId="49" fontId="10" fillId="2" borderId="25" xfId="0" applyNumberFormat="1" applyFont="1" applyFill="1" applyBorder="1" applyAlignment="1">
      <alignment horizontal="center"/>
    </xf>
    <xf numFmtId="0" fontId="14" fillId="3" borderId="5" xfId="0" applyFont="1" applyFill="1" applyBorder="1" applyAlignment="1">
      <alignment horizontal="justify" vertical="top" wrapText="1"/>
    </xf>
    <xf numFmtId="3" fontId="6" fillId="0" borderId="38" xfId="0" applyNumberFormat="1" applyFont="1" applyBorder="1" applyAlignment="1">
      <alignment horizontal="right" vertical="top" wrapText="1"/>
    </xf>
    <xf numFmtId="0" fontId="14" fillId="3" borderId="5" xfId="0" applyFont="1" applyFill="1" applyBorder="1" applyAlignment="1">
      <alignment horizontal="justify" vertical="center" wrapText="1"/>
    </xf>
    <xf numFmtId="3" fontId="6" fillId="0" borderId="38" xfId="0" applyNumberFormat="1" applyFont="1" applyBorder="1" applyAlignment="1">
      <alignment horizontal="right" vertical="center" wrapText="1"/>
    </xf>
    <xf numFmtId="0" fontId="14" fillId="3" borderId="13" xfId="0" applyFont="1" applyFill="1" applyBorder="1" applyAlignment="1">
      <alignment horizontal="justify" vertical="top" wrapText="1"/>
    </xf>
    <xf numFmtId="3" fontId="6" fillId="0" borderId="63" xfId="0" applyNumberFormat="1" applyFont="1" applyBorder="1" applyAlignment="1">
      <alignment horizontal="right" vertical="top" wrapText="1"/>
    </xf>
    <xf numFmtId="3" fontId="6" fillId="0" borderId="28" xfId="0" applyNumberFormat="1" applyFont="1" applyBorder="1"/>
    <xf numFmtId="0" fontId="10" fillId="2" borderId="17" xfId="0" applyFont="1" applyFill="1" applyBorder="1" applyAlignment="1">
      <alignment horizontal="justify" vertical="center" wrapText="1"/>
    </xf>
    <xf numFmtId="3" fontId="10" fillId="2" borderId="71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Alignment="1">
      <alignment vertical="center"/>
    </xf>
    <xf numFmtId="4" fontId="15" fillId="0" borderId="0" xfId="0" applyNumberFormat="1" applyFont="1"/>
    <xf numFmtId="167" fontId="15" fillId="0" borderId="0" xfId="0" applyNumberFormat="1" applyFont="1" applyAlignment="1">
      <alignment horizontal="center"/>
    </xf>
    <xf numFmtId="0" fontId="20" fillId="0" borderId="0" xfId="0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12" fillId="2" borderId="1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68" xfId="0" applyFont="1" applyFill="1" applyBorder="1" applyAlignment="1">
      <alignment horizontal="center"/>
    </xf>
    <xf numFmtId="0" fontId="14" fillId="0" borderId="5" xfId="0" applyFont="1" applyBorder="1"/>
    <xf numFmtId="3" fontId="6" fillId="6" borderId="6" xfId="0" applyNumberFormat="1" applyFont="1" applyFill="1" applyBorder="1" applyAlignment="1">
      <alignment horizontal="right"/>
    </xf>
    <xf numFmtId="3" fontId="6" fillId="10" borderId="25" xfId="0" applyNumberFormat="1" applyFont="1" applyFill="1" applyBorder="1" applyAlignment="1">
      <alignment horizontal="right"/>
    </xf>
    <xf numFmtId="3" fontId="14" fillId="6" borderId="6" xfId="0" applyNumberFormat="1" applyFont="1" applyFill="1" applyBorder="1" applyAlignment="1">
      <alignment horizontal="right"/>
    </xf>
    <xf numFmtId="3" fontId="14" fillId="0" borderId="6" xfId="0" applyNumberFormat="1" applyFont="1" applyBorder="1" applyAlignment="1">
      <alignment horizontal="right"/>
    </xf>
    <xf numFmtId="3" fontId="14" fillId="10" borderId="25" xfId="0" applyNumberFormat="1" applyFont="1" applyFill="1" applyBorder="1" applyAlignment="1">
      <alignment horizontal="right"/>
    </xf>
    <xf numFmtId="0" fontId="14" fillId="0" borderId="5" xfId="0" applyFont="1" applyBorder="1" applyAlignment="1">
      <alignment wrapText="1"/>
    </xf>
    <xf numFmtId="10" fontId="14" fillId="6" borderId="6" xfId="0" applyNumberFormat="1" applyFont="1" applyFill="1" applyBorder="1" applyAlignment="1">
      <alignment horizontal="right" vertical="center"/>
    </xf>
    <xf numFmtId="10" fontId="14" fillId="0" borderId="6" xfId="0" applyNumberFormat="1" applyFont="1" applyBorder="1" applyAlignment="1">
      <alignment horizontal="right" vertical="center"/>
    </xf>
    <xf numFmtId="10" fontId="14" fillId="10" borderId="25" xfId="0" applyNumberFormat="1" applyFont="1" applyFill="1" applyBorder="1" applyAlignment="1">
      <alignment horizontal="right" vertical="center"/>
    </xf>
    <xf numFmtId="0" fontId="14" fillId="0" borderId="13" xfId="0" applyFont="1" applyBorder="1" applyAlignment="1">
      <alignment wrapText="1"/>
    </xf>
    <xf numFmtId="10" fontId="14" fillId="6" borderId="14" xfId="0" applyNumberFormat="1" applyFont="1" applyFill="1" applyBorder="1" applyAlignment="1">
      <alignment horizontal="right" vertical="center"/>
    </xf>
    <xf numFmtId="10" fontId="14" fillId="0" borderId="14" xfId="0" applyNumberFormat="1" applyFont="1" applyBorder="1" applyAlignment="1">
      <alignment horizontal="right" vertical="center"/>
    </xf>
    <xf numFmtId="3" fontId="14" fillId="6" borderId="14" xfId="0" applyNumberFormat="1" applyFont="1" applyFill="1" applyBorder="1" applyAlignment="1">
      <alignment horizontal="right" vertical="center"/>
    </xf>
    <xf numFmtId="3" fontId="14" fillId="10" borderId="28" xfId="0" applyNumberFormat="1" applyFont="1" applyFill="1" applyBorder="1" applyAlignment="1">
      <alignment horizontal="right" vertical="center"/>
    </xf>
    <xf numFmtId="0" fontId="14" fillId="0" borderId="34" xfId="0" applyFont="1" applyBorder="1" applyAlignment="1">
      <alignment vertical="center" wrapText="1"/>
    </xf>
    <xf numFmtId="10" fontId="14" fillId="6" borderId="35" xfId="0" applyNumberFormat="1" applyFont="1" applyFill="1" applyBorder="1" applyAlignment="1">
      <alignment horizontal="right" vertical="center"/>
    </xf>
    <xf numFmtId="10" fontId="14" fillId="0" borderId="35" xfId="0" applyNumberFormat="1" applyFont="1" applyBorder="1" applyAlignment="1">
      <alignment horizontal="right" vertical="center"/>
    </xf>
    <xf numFmtId="10" fontId="14" fillId="10" borderId="31" xfId="0" applyNumberFormat="1" applyFont="1" applyFill="1" applyBorder="1" applyAlignment="1">
      <alignment horizontal="right" vertical="center"/>
    </xf>
    <xf numFmtId="0" fontId="11" fillId="0" borderId="0" xfId="0" applyFont="1"/>
    <xf numFmtId="10" fontId="7" fillId="0" borderId="0" xfId="0" applyNumberFormat="1" applyFont="1" applyAlignment="1">
      <alignment horizontal="right"/>
    </xf>
    <xf numFmtId="0" fontId="6" fillId="6" borderId="0" xfId="0" applyFont="1" applyFill="1"/>
    <xf numFmtId="0" fontId="43" fillId="0" borderId="0" xfId="0" applyFont="1"/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68" xfId="0" applyFont="1" applyFill="1" applyBorder="1" applyAlignment="1">
      <alignment horizontal="center" vertical="center" wrapText="1"/>
    </xf>
    <xf numFmtId="3" fontId="21" fillId="2" borderId="54" xfId="0" applyNumberFormat="1" applyFont="1" applyFill="1" applyBorder="1" applyAlignment="1">
      <alignment vertical="center"/>
    </xf>
    <xf numFmtId="3" fontId="21" fillId="2" borderId="48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49" fontId="14" fillId="3" borderId="73" xfId="0" applyNumberFormat="1" applyFont="1" applyFill="1" applyBorder="1" applyAlignment="1">
      <alignment vertical="center" wrapText="1"/>
    </xf>
    <xf numFmtId="3" fontId="14" fillId="3" borderId="62" xfId="0" applyNumberFormat="1" applyFont="1" applyFill="1" applyBorder="1" applyAlignment="1">
      <alignment vertical="center"/>
    </xf>
    <xf numFmtId="3" fontId="14" fillId="3" borderId="70" xfId="0" applyNumberFormat="1" applyFont="1" applyFill="1" applyBorder="1" applyAlignment="1">
      <alignment vertical="center"/>
    </xf>
    <xf numFmtId="49" fontId="6" fillId="0" borderId="5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49" fontId="14" fillId="3" borderId="5" xfId="0" applyNumberFormat="1" applyFont="1" applyFill="1" applyBorder="1" applyAlignment="1">
      <alignment vertical="center" wrapText="1"/>
    </xf>
    <xf numFmtId="0" fontId="14" fillId="3" borderId="6" xfId="0" applyFont="1" applyFill="1" applyBorder="1" applyAlignment="1">
      <alignment vertical="center" wrapText="1"/>
    </xf>
    <xf numFmtId="49" fontId="6" fillId="0" borderId="5" xfId="0" applyNumberFormat="1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right" vertical="center"/>
    </xf>
    <xf numFmtId="49" fontId="14" fillId="6" borderId="5" xfId="0" applyNumberFormat="1" applyFont="1" applyFill="1" applyBorder="1" applyAlignment="1">
      <alignment vertical="center" wrapText="1"/>
    </xf>
    <xf numFmtId="49" fontId="6" fillId="0" borderId="34" xfId="0" applyNumberFormat="1" applyFont="1" applyBorder="1" applyAlignment="1">
      <alignment vertical="center" wrapText="1"/>
    </xf>
    <xf numFmtId="0" fontId="6" fillId="0" borderId="35" xfId="0" applyFont="1" applyBorder="1" applyAlignment="1">
      <alignment horizontal="left" vertical="center" wrapText="1"/>
    </xf>
    <xf numFmtId="3" fontId="6" fillId="0" borderId="35" xfId="0" applyNumberFormat="1" applyFont="1" applyBorder="1" applyAlignment="1">
      <alignment vertical="center"/>
    </xf>
    <xf numFmtId="3" fontId="6" fillId="0" borderId="31" xfId="0" applyNumberFormat="1" applyFont="1" applyBorder="1" applyAlignment="1">
      <alignment vertical="center"/>
    </xf>
    <xf numFmtId="0" fontId="6" fillId="0" borderId="0" xfId="0" applyFont="1" applyAlignment="1">
      <alignment horizontal="left"/>
    </xf>
    <xf numFmtId="4" fontId="14" fillId="0" borderId="0" xfId="0" applyNumberFormat="1" applyFont="1"/>
    <xf numFmtId="0" fontId="7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49" fontId="14" fillId="3" borderId="73" xfId="0" applyNumberFormat="1" applyFont="1" applyFill="1" applyBorder="1" applyAlignment="1">
      <alignment vertical="top" wrapText="1"/>
    </xf>
    <xf numFmtId="3" fontId="14" fillId="3" borderId="70" xfId="0" applyNumberFormat="1" applyFont="1" applyFill="1" applyBorder="1"/>
    <xf numFmtId="49" fontId="6" fillId="0" borderId="5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49" fontId="14" fillId="3" borderId="5" xfId="0" applyNumberFormat="1" applyFont="1" applyFill="1" applyBorder="1" applyAlignment="1">
      <alignment vertical="top" wrapText="1"/>
    </xf>
    <xf numFmtId="0" fontId="14" fillId="3" borderId="6" xfId="0" applyFont="1" applyFill="1" applyBorder="1" applyAlignment="1">
      <alignment vertical="top" wrapText="1"/>
    </xf>
    <xf numFmtId="3" fontId="14" fillId="3" borderId="25" xfId="0" applyNumberFormat="1" applyFont="1" applyFill="1" applyBorder="1"/>
    <xf numFmtId="49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49" fontId="6" fillId="0" borderId="13" xfId="0" applyNumberFormat="1" applyFont="1" applyBorder="1" applyAlignment="1">
      <alignment vertical="top" wrapText="1"/>
    </xf>
    <xf numFmtId="0" fontId="6" fillId="0" borderId="14" xfId="0" applyFont="1" applyBorder="1" applyAlignment="1">
      <alignment horizontal="left" vertical="center" wrapText="1"/>
    </xf>
    <xf numFmtId="3" fontId="6" fillId="0" borderId="14" xfId="0" applyNumberFormat="1" applyFont="1" applyBorder="1" applyAlignment="1">
      <alignment vertical="center"/>
    </xf>
    <xf numFmtId="3" fontId="6" fillId="0" borderId="28" xfId="0" applyNumberFormat="1" applyFont="1" applyBorder="1" applyAlignment="1">
      <alignment vertical="center"/>
    </xf>
    <xf numFmtId="49" fontId="6" fillId="0" borderId="34" xfId="0" applyNumberFormat="1" applyFont="1" applyBorder="1" applyAlignment="1">
      <alignment vertical="top" wrapText="1"/>
    </xf>
    <xf numFmtId="0" fontId="6" fillId="0" borderId="35" xfId="0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 wrapText="1"/>
    </xf>
    <xf numFmtId="0" fontId="10" fillId="2" borderId="68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vertical="center" wrapText="1"/>
    </xf>
    <xf numFmtId="3" fontId="10" fillId="2" borderId="54" xfId="0" applyNumberFormat="1" applyFont="1" applyFill="1" applyBorder="1" applyAlignment="1">
      <alignment horizontal="right" vertical="center"/>
    </xf>
    <xf numFmtId="3" fontId="10" fillId="2" borderId="48" xfId="0" applyNumberFormat="1" applyFont="1" applyFill="1" applyBorder="1" applyAlignment="1">
      <alignment horizontal="right" vertical="center"/>
    </xf>
    <xf numFmtId="0" fontId="14" fillId="3" borderId="73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vertical="top" wrapText="1"/>
    </xf>
    <xf numFmtId="3" fontId="14" fillId="3" borderId="6" xfId="0" applyNumberFormat="1" applyFont="1" applyFill="1" applyBorder="1" applyAlignment="1">
      <alignment horizontal="right" vertical="center"/>
    </xf>
    <xf numFmtId="3" fontId="14" fillId="3" borderId="25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vertical="center" wrapText="1"/>
    </xf>
    <xf numFmtId="3" fontId="10" fillId="2" borderId="6" xfId="0" applyNumberFormat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vertical="top" wrapText="1"/>
    </xf>
    <xf numFmtId="3" fontId="6" fillId="0" borderId="14" xfId="0" applyNumberFormat="1" applyFont="1" applyBorder="1" applyAlignment="1">
      <alignment horizontal="right" vertical="center"/>
    </xf>
    <xf numFmtId="3" fontId="6" fillId="0" borderId="28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vertical="top" wrapText="1"/>
    </xf>
    <xf numFmtId="3" fontId="6" fillId="0" borderId="35" xfId="0" applyNumberFormat="1" applyFont="1" applyBorder="1" applyAlignment="1">
      <alignment horizontal="right" vertical="center"/>
    </xf>
    <xf numFmtId="3" fontId="6" fillId="0" borderId="31" xfId="0" applyNumberFormat="1" applyFont="1" applyBorder="1" applyAlignment="1">
      <alignment horizontal="right" vertical="center"/>
    </xf>
    <xf numFmtId="3" fontId="6" fillId="6" borderId="0" xfId="0" applyNumberFormat="1" applyFont="1" applyFill="1"/>
    <xf numFmtId="0" fontId="44" fillId="0" borderId="0" xfId="0" applyFont="1" applyAlignment="1">
      <alignment vertical="center" wrapText="1"/>
    </xf>
    <xf numFmtId="0" fontId="10" fillId="2" borderId="6" xfId="0" applyFont="1" applyFill="1" applyBorder="1" applyAlignment="1">
      <alignment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0" fontId="22" fillId="2" borderId="73" xfId="2" applyFont="1" applyFill="1" applyBorder="1" applyAlignment="1">
      <alignment horizontal="left"/>
    </xf>
    <xf numFmtId="4" fontId="6" fillId="3" borderId="70" xfId="2" applyNumberFormat="1" applyFont="1" applyFill="1" applyBorder="1" applyAlignment="1">
      <alignment horizontal="center"/>
    </xf>
    <xf numFmtId="168" fontId="7" fillId="0" borderId="0" xfId="0" applyNumberFormat="1" applyFont="1"/>
    <xf numFmtId="0" fontId="22" fillId="2" borderId="34" xfId="2" applyFont="1" applyFill="1" applyBorder="1" applyAlignment="1">
      <alignment horizontal="center" vertical="center"/>
    </xf>
    <xf numFmtId="4" fontId="22" fillId="2" borderId="75" xfId="2" applyNumberFormat="1" applyFont="1" applyFill="1" applyBorder="1" applyAlignment="1">
      <alignment horizontal="center" vertical="center"/>
    </xf>
    <xf numFmtId="4" fontId="22" fillId="2" borderId="31" xfId="2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/>
    <xf numFmtId="0" fontId="7" fillId="0" borderId="2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167" fontId="6" fillId="0" borderId="25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left" indent="2"/>
    </xf>
    <xf numFmtId="0" fontId="7" fillId="0" borderId="6" xfId="0" applyFont="1" applyBorder="1" applyAlignment="1">
      <alignment horizontal="left" indent="2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left"/>
    </xf>
    <xf numFmtId="0" fontId="7" fillId="0" borderId="31" xfId="0" applyFont="1" applyBorder="1" applyAlignment="1">
      <alignment horizontal="center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2" fillId="12" borderId="6" xfId="0" applyFont="1" applyFill="1" applyBorder="1" applyAlignment="1">
      <alignment horizontal="center" vertical="center" wrapText="1"/>
    </xf>
    <xf numFmtId="0" fontId="22" fillId="12" borderId="6" xfId="0" applyFont="1" applyFill="1" applyBorder="1" applyAlignment="1">
      <alignment horizontal="center" vertical="center"/>
    </xf>
    <xf numFmtId="0" fontId="22" fillId="0" borderId="66" xfId="0" applyFont="1" applyFill="1" applyBorder="1" applyAlignment="1">
      <alignment horizontal="center" vertical="center"/>
    </xf>
    <xf numFmtId="0" fontId="6" fillId="13" borderId="6" xfId="0" applyFont="1" applyFill="1" applyBorder="1" applyAlignment="1">
      <alignment horizontal="center" vertical="center"/>
    </xf>
    <xf numFmtId="0" fontId="14" fillId="13" borderId="6" xfId="0" applyFont="1" applyFill="1" applyBorder="1" applyAlignment="1">
      <alignment vertical="center"/>
    </xf>
    <xf numFmtId="3" fontId="14" fillId="13" borderId="6" xfId="0" applyNumberFormat="1" applyFont="1" applyFill="1" applyBorder="1" applyAlignment="1">
      <alignment horizontal="right" vertical="center"/>
    </xf>
    <xf numFmtId="3" fontId="14" fillId="0" borderId="66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3" fontId="6" fillId="0" borderId="66" xfId="0" applyNumberFormat="1" applyFont="1" applyFill="1" applyBorder="1" applyAlignment="1">
      <alignment horizontal="right" vertical="center"/>
    </xf>
    <xf numFmtId="0" fontId="6" fillId="12" borderId="6" xfId="0" applyFont="1" applyFill="1" applyBorder="1" applyAlignment="1">
      <alignment horizontal="center" vertical="center"/>
    </xf>
    <xf numFmtId="0" fontId="22" fillId="12" borderId="6" xfId="0" applyFont="1" applyFill="1" applyBorder="1" applyAlignment="1">
      <alignment vertical="center"/>
    </xf>
    <xf numFmtId="3" fontId="22" fillId="12" borderId="6" xfId="0" applyNumberFormat="1" applyFont="1" applyFill="1" applyBorder="1" applyAlignment="1">
      <alignment horizontal="right" vertical="center"/>
    </xf>
    <xf numFmtId="3" fontId="22" fillId="0" borderId="66" xfId="0" applyNumberFormat="1" applyFont="1" applyFill="1" applyBorder="1" applyAlignment="1">
      <alignment horizontal="right" vertical="center"/>
    </xf>
    <xf numFmtId="0" fontId="22" fillId="12" borderId="6" xfId="0" applyFont="1" applyFill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6" xfId="0" applyFont="1" applyBorder="1" applyAlignment="1">
      <alignment vertical="center"/>
    </xf>
    <xf numFmtId="0" fontId="22" fillId="0" borderId="66" xfId="0" applyFont="1" applyFill="1" applyBorder="1" applyAlignment="1">
      <alignment vertical="center"/>
    </xf>
    <xf numFmtId="0" fontId="47" fillId="13" borderId="6" xfId="0" applyFont="1" applyFill="1" applyBorder="1" applyAlignment="1">
      <alignment vertical="center"/>
    </xf>
    <xf numFmtId="3" fontId="47" fillId="13" borderId="6" xfId="0" applyNumberFormat="1" applyFont="1" applyFill="1" applyBorder="1" applyAlignment="1">
      <alignment horizontal="right" vertical="center"/>
    </xf>
    <xf numFmtId="3" fontId="47" fillId="0" borderId="66" xfId="0" applyNumberFormat="1" applyFont="1" applyFill="1" applyBorder="1" applyAlignment="1">
      <alignment horizontal="right" vertical="center"/>
    </xf>
    <xf numFmtId="0" fontId="10" fillId="12" borderId="6" xfId="0" applyFont="1" applyFill="1" applyBorder="1" applyAlignment="1">
      <alignment horizontal="center" vertical="center"/>
    </xf>
    <xf numFmtId="3" fontId="10" fillId="12" borderId="6" xfId="0" applyNumberFormat="1" applyFont="1" applyFill="1" applyBorder="1" applyAlignment="1">
      <alignment horizontal="right" vertical="center"/>
    </xf>
    <xf numFmtId="3" fontId="10" fillId="0" borderId="66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justify" vertical="center"/>
    </xf>
    <xf numFmtId="0" fontId="0" fillId="0" borderId="0" xfId="0"/>
    <xf numFmtId="0" fontId="0" fillId="0" borderId="0" xfId="0"/>
    <xf numFmtId="0" fontId="16" fillId="14" borderId="78" xfId="0" applyFont="1" applyFill="1" applyBorder="1" applyAlignment="1">
      <alignment horizontal="center" vertical="center" wrapText="1"/>
    </xf>
    <xf numFmtId="3" fontId="17" fillId="15" borderId="78" xfId="0" applyNumberFormat="1" applyFont="1" applyFill="1" applyBorder="1"/>
    <xf numFmtId="3" fontId="15" fillId="16" borderId="78" xfId="0" applyNumberFormat="1" applyFont="1" applyFill="1" applyBorder="1"/>
    <xf numFmtId="3" fontId="15" fillId="17" borderId="78" xfId="0" applyNumberFormat="1" applyFont="1" applyFill="1" applyBorder="1"/>
    <xf numFmtId="3" fontId="10" fillId="14" borderId="78" xfId="0" applyNumberFormat="1" applyFont="1" applyFill="1" applyBorder="1"/>
    <xf numFmtId="3" fontId="10" fillId="14" borderId="78" xfId="0" applyNumberFormat="1" applyFont="1" applyFill="1" applyBorder="1" applyAlignment="1">
      <alignment vertical="center"/>
    </xf>
    <xf numFmtId="0" fontId="16" fillId="14" borderId="66" xfId="0" applyFont="1" applyFill="1" applyBorder="1" applyAlignment="1">
      <alignment horizontal="center" vertical="center" wrapText="1"/>
    </xf>
    <xf numFmtId="3" fontId="17" fillId="15" borderId="66" xfId="0" applyNumberFormat="1" applyFont="1" applyFill="1" applyBorder="1"/>
    <xf numFmtId="3" fontId="15" fillId="16" borderId="66" xfId="0" applyNumberFormat="1" applyFont="1" applyFill="1" applyBorder="1"/>
    <xf numFmtId="3" fontId="15" fillId="17" borderId="66" xfId="0" applyNumberFormat="1" applyFont="1" applyFill="1" applyBorder="1"/>
    <xf numFmtId="3" fontId="10" fillId="14" borderId="66" xfId="0" applyNumberFormat="1" applyFont="1" applyFill="1" applyBorder="1"/>
    <xf numFmtId="3" fontId="10" fillId="14" borderId="66" xfId="0" applyNumberFormat="1" applyFont="1" applyFill="1" applyBorder="1" applyAlignment="1">
      <alignment vertical="center"/>
    </xf>
    <xf numFmtId="0" fontId="16" fillId="14" borderId="0" xfId="0" applyFont="1" applyFill="1" applyBorder="1" applyAlignment="1">
      <alignment horizontal="center" vertical="center" wrapText="1"/>
    </xf>
    <xf numFmtId="3" fontId="17" fillId="15" borderId="0" xfId="0" applyNumberFormat="1" applyFont="1" applyFill="1" applyBorder="1"/>
    <xf numFmtId="3" fontId="15" fillId="16" borderId="0" xfId="0" applyNumberFormat="1" applyFont="1" applyFill="1" applyBorder="1"/>
    <xf numFmtId="3" fontId="15" fillId="17" borderId="0" xfId="0" applyNumberFormat="1" applyFont="1" applyFill="1" applyBorder="1"/>
    <xf numFmtId="3" fontId="10" fillId="14" borderId="0" xfId="0" applyNumberFormat="1" applyFont="1" applyFill="1" applyBorder="1"/>
    <xf numFmtId="3" fontId="10" fillId="14" borderId="0" xfId="0" applyNumberFormat="1" applyFont="1" applyFill="1" applyBorder="1" applyAlignment="1">
      <alignment vertical="center"/>
    </xf>
    <xf numFmtId="0" fontId="15" fillId="0" borderId="69" xfId="0" applyFont="1" applyFill="1" applyBorder="1" applyAlignment="1">
      <alignment horizontal="left" wrapText="1"/>
    </xf>
    <xf numFmtId="0" fontId="15" fillId="0" borderId="64" xfId="0" applyFont="1" applyFill="1" applyBorder="1" applyAlignment="1">
      <alignment horizontal="left" wrapText="1"/>
    </xf>
    <xf numFmtId="0" fontId="15" fillId="0" borderId="38" xfId="0" applyFont="1" applyFill="1" applyBorder="1" applyAlignment="1">
      <alignment horizontal="left" wrapText="1"/>
    </xf>
    <xf numFmtId="0" fontId="6" fillId="0" borderId="0" xfId="0" applyFont="1"/>
    <xf numFmtId="0" fontId="0" fillId="0" borderId="0" xfId="0"/>
    <xf numFmtId="0" fontId="0" fillId="0" borderId="0" xfId="0"/>
    <xf numFmtId="0" fontId="6" fillId="0" borderId="0" xfId="0" applyFont="1"/>
    <xf numFmtId="0" fontId="4" fillId="0" borderId="0" xfId="26"/>
    <xf numFmtId="0" fontId="6" fillId="0" borderId="0" xfId="2" applyFont="1"/>
    <xf numFmtId="0" fontId="6" fillId="0" borderId="0" xfId="2" applyFont="1" applyAlignment="1">
      <alignment horizontal="right"/>
    </xf>
    <xf numFmtId="0" fontId="14" fillId="0" borderId="0" xfId="2" applyFont="1" applyAlignment="1">
      <alignment horizontal="center"/>
    </xf>
    <xf numFmtId="0" fontId="23" fillId="0" borderId="0" xfId="2" applyFont="1"/>
    <xf numFmtId="0" fontId="24" fillId="0" borderId="0" xfId="2" applyFont="1"/>
    <xf numFmtId="0" fontId="22" fillId="2" borderId="9" xfId="2" applyFont="1" applyFill="1" applyBorder="1" applyAlignment="1">
      <alignment horizontal="left"/>
    </xf>
    <xf numFmtId="3" fontId="14" fillId="7" borderId="10" xfId="2" applyNumberFormat="1" applyFont="1" applyFill="1" applyBorder="1" applyAlignment="1">
      <alignment horizontal="center"/>
    </xf>
    <xf numFmtId="3" fontId="14" fillId="8" borderId="10" xfId="2" applyNumberFormat="1" applyFont="1" applyFill="1" applyBorder="1" applyAlignment="1">
      <alignment horizontal="right"/>
    </xf>
    <xf numFmtId="3" fontId="6" fillId="0" borderId="10" xfId="2" applyNumberFormat="1" applyFont="1" applyBorder="1" applyAlignment="1">
      <alignment horizontal="right"/>
    </xf>
    <xf numFmtId="3" fontId="14" fillId="5" borderId="24" xfId="2" applyNumberFormat="1" applyFont="1" applyFill="1" applyBorder="1" applyAlignment="1">
      <alignment horizontal="right"/>
    </xf>
    <xf numFmtId="0" fontId="22" fillId="2" borderId="5" xfId="2" applyFont="1" applyFill="1" applyBorder="1" applyAlignment="1">
      <alignment horizontal="left"/>
    </xf>
    <xf numFmtId="3" fontId="14" fillId="7" borderId="6" xfId="2" applyNumberFormat="1" applyFont="1" applyFill="1" applyBorder="1" applyAlignment="1">
      <alignment horizontal="center"/>
    </xf>
    <xf numFmtId="3" fontId="14" fillId="8" borderId="6" xfId="2" applyNumberFormat="1" applyFont="1" applyFill="1" applyBorder="1" applyAlignment="1">
      <alignment horizontal="right"/>
    </xf>
    <xf numFmtId="3" fontId="6" fillId="0" borderId="6" xfId="2" applyNumberFormat="1" applyFont="1" applyBorder="1" applyAlignment="1">
      <alignment horizontal="right"/>
    </xf>
    <xf numFmtId="3" fontId="6" fillId="0" borderId="6" xfId="2" applyNumberFormat="1" applyFont="1" applyBorder="1"/>
    <xf numFmtId="3" fontId="14" fillId="5" borderId="25" xfId="2" applyNumberFormat="1" applyFont="1" applyFill="1" applyBorder="1" applyAlignment="1">
      <alignment horizontal="right"/>
    </xf>
    <xf numFmtId="0" fontId="4" fillId="0" borderId="0" xfId="4" applyFont="1"/>
    <xf numFmtId="0" fontId="22" fillId="2" borderId="13" xfId="2" applyFont="1" applyFill="1" applyBorder="1" applyAlignment="1">
      <alignment horizontal="left"/>
    </xf>
    <xf numFmtId="3" fontId="14" fillId="7" borderId="14" xfId="2" applyNumberFormat="1" applyFont="1" applyFill="1" applyBorder="1" applyAlignment="1">
      <alignment horizontal="center"/>
    </xf>
    <xf numFmtId="3" fontId="14" fillId="8" borderId="14" xfId="2" applyNumberFormat="1" applyFont="1" applyFill="1" applyBorder="1" applyAlignment="1">
      <alignment horizontal="right"/>
    </xf>
    <xf numFmtId="3" fontId="6" fillId="0" borderId="14" xfId="2" applyNumberFormat="1" applyFont="1" applyBorder="1" applyAlignment="1">
      <alignment horizontal="right"/>
    </xf>
    <xf numFmtId="3" fontId="6" fillId="0" borderId="14" xfId="2" applyNumberFormat="1" applyFont="1" applyBorder="1"/>
    <xf numFmtId="3" fontId="4" fillId="0" borderId="0" xfId="4" applyNumberFormat="1" applyFont="1"/>
    <xf numFmtId="0" fontId="22" fillId="2" borderId="17" xfId="2" applyFont="1" applyFill="1" applyBorder="1" applyAlignment="1">
      <alignment horizontal="center" vertical="center"/>
    </xf>
    <xf numFmtId="3" fontId="22" fillId="2" borderId="18" xfId="2" applyNumberFormat="1" applyFont="1" applyFill="1" applyBorder="1" applyAlignment="1">
      <alignment horizontal="center" vertical="center"/>
    </xf>
    <xf numFmtId="3" fontId="22" fillId="2" borderId="18" xfId="2" applyNumberFormat="1" applyFont="1" applyFill="1" applyBorder="1" applyAlignment="1">
      <alignment horizontal="right" vertical="center"/>
    </xf>
    <xf numFmtId="3" fontId="22" fillId="2" borderId="39" xfId="2" applyNumberFormat="1" applyFont="1" applyFill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22" fillId="2" borderId="59" xfId="2" applyFont="1" applyFill="1" applyBorder="1" applyAlignment="1">
      <alignment horizontal="left"/>
    </xf>
    <xf numFmtId="3" fontId="14" fillId="7" borderId="60" xfId="2" applyNumberFormat="1" applyFont="1" applyFill="1" applyBorder="1" applyAlignment="1">
      <alignment horizontal="center"/>
    </xf>
    <xf numFmtId="3" fontId="14" fillId="8" borderId="60" xfId="2" applyNumberFormat="1" applyFont="1" applyFill="1" applyBorder="1" applyAlignment="1">
      <alignment horizontal="right"/>
    </xf>
    <xf numFmtId="3" fontId="6" fillId="8" borderId="60" xfId="2" applyNumberFormat="1" applyFont="1" applyFill="1" applyBorder="1" applyAlignment="1">
      <alignment horizontal="right"/>
    </xf>
    <xf numFmtId="3" fontId="6" fillId="0" borderId="60" xfId="2" applyNumberFormat="1" applyFont="1" applyBorder="1" applyAlignment="1">
      <alignment horizontal="right"/>
    </xf>
    <xf numFmtId="3" fontId="14" fillId="5" borderId="61" xfId="2" applyNumberFormat="1" applyFont="1" applyFill="1" applyBorder="1" applyAlignment="1">
      <alignment horizontal="right"/>
    </xf>
    <xf numFmtId="3" fontId="6" fillId="0" borderId="0" xfId="2" applyNumberFormat="1" applyFont="1"/>
    <xf numFmtId="3" fontId="6" fillId="0" borderId="10" xfId="2" applyNumberFormat="1" applyFont="1" applyBorder="1"/>
    <xf numFmtId="0" fontId="14" fillId="0" borderId="0" xfId="2" applyFont="1" applyAlignment="1">
      <alignment horizontal="center" vertical="center"/>
    </xf>
    <xf numFmtId="3" fontId="14" fillId="0" borderId="0" xfId="2" applyNumberFormat="1" applyFont="1" applyAlignment="1">
      <alignment horizontal="right" vertical="center"/>
    </xf>
    <xf numFmtId="3" fontId="6" fillId="0" borderId="0" xfId="2" applyNumberFormat="1" applyFont="1" applyAlignment="1">
      <alignment vertical="center"/>
    </xf>
    <xf numFmtId="3" fontId="48" fillId="0" borderId="79" xfId="26" applyNumberFormat="1" applyFont="1" applyBorder="1"/>
    <xf numFmtId="3" fontId="49" fillId="0" borderId="79" xfId="26" applyNumberFormat="1" applyFont="1" applyFill="1" applyBorder="1"/>
    <xf numFmtId="0" fontId="22" fillId="2" borderId="69" xfId="2" applyFont="1" applyFill="1" applyBorder="1" applyAlignment="1">
      <alignment horizontal="left"/>
    </xf>
    <xf numFmtId="3" fontId="6" fillId="0" borderId="51" xfId="2" applyNumberFormat="1" applyFont="1" applyBorder="1" applyAlignment="1">
      <alignment horizontal="right"/>
    </xf>
    <xf numFmtId="3" fontId="6" fillId="0" borderId="62" xfId="2" applyNumberFormat="1" applyFont="1" applyBorder="1" applyAlignment="1">
      <alignment horizontal="right"/>
    </xf>
    <xf numFmtId="3" fontId="6" fillId="0" borderId="79" xfId="2" applyNumberFormat="1" applyFont="1" applyBorder="1" applyAlignment="1">
      <alignment horizontal="right"/>
    </xf>
    <xf numFmtId="3" fontId="6" fillId="0" borderId="80" xfId="2" applyNumberFormat="1" applyFont="1" applyBorder="1" applyAlignment="1">
      <alignment horizontal="right"/>
    </xf>
    <xf numFmtId="3" fontId="6" fillId="0" borderId="81" xfId="2" applyNumberFormat="1" applyFont="1" applyBorder="1" applyAlignment="1">
      <alignment horizontal="right"/>
    </xf>
    <xf numFmtId="3" fontId="6" fillId="0" borderId="7" xfId="2" applyNumberFormat="1" applyFont="1" applyBorder="1" applyAlignment="1">
      <alignment horizontal="right"/>
    </xf>
    <xf numFmtId="3" fontId="14" fillId="5" borderId="52" xfId="2" applyNumberFormat="1" applyFont="1" applyFill="1" applyBorder="1" applyAlignment="1">
      <alignment horizontal="right"/>
    </xf>
    <xf numFmtId="3" fontId="14" fillId="5" borderId="70" xfId="2" applyNumberFormat="1" applyFont="1" applyFill="1" applyBorder="1" applyAlignment="1">
      <alignment horizontal="right"/>
    </xf>
    <xf numFmtId="3" fontId="14" fillId="5" borderId="79" xfId="2" applyNumberFormat="1" applyFont="1" applyFill="1" applyBorder="1" applyAlignment="1">
      <alignment horizontal="right"/>
    </xf>
    <xf numFmtId="3" fontId="50" fillId="0" borderId="79" xfId="26" applyNumberFormat="1" applyFont="1" applyBorder="1"/>
    <xf numFmtId="0" fontId="6" fillId="0" borderId="64" xfId="0" applyFont="1" applyFill="1" applyBorder="1" applyAlignment="1">
      <alignment horizontal="left" vertical="center" wrapText="1"/>
    </xf>
    <xf numFmtId="0" fontId="6" fillId="0" borderId="38" xfId="0" applyFont="1" applyFill="1" applyBorder="1" applyAlignment="1">
      <alignment horizontal="left" vertical="center" wrapText="1"/>
    </xf>
    <xf numFmtId="0" fontId="0" fillId="0" borderId="0" xfId="0"/>
    <xf numFmtId="0" fontId="6" fillId="0" borderId="0" xfId="0" applyFont="1"/>
    <xf numFmtId="0" fontId="14" fillId="3" borderId="82" xfId="0" applyFont="1" applyFill="1" applyBorder="1" applyAlignment="1">
      <alignment horizontal="left" vertical="center" wrapText="1"/>
    </xf>
    <xf numFmtId="3" fontId="14" fillId="3" borderId="82" xfId="0" applyNumberFormat="1" applyFont="1" applyFill="1" applyBorder="1"/>
    <xf numFmtId="0" fontId="6" fillId="0" borderId="14" xfId="0" applyFont="1" applyFill="1" applyBorder="1" applyAlignment="1">
      <alignment horizontal="left"/>
    </xf>
    <xf numFmtId="0" fontId="14" fillId="3" borderId="10" xfId="0" applyFont="1" applyFill="1" applyBorder="1" applyAlignment="1">
      <alignment horizontal="left" vertical="center" wrapText="1"/>
    </xf>
    <xf numFmtId="3" fontId="14" fillId="3" borderId="10" xfId="0" applyNumberFormat="1" applyFont="1" applyFill="1" applyBorder="1"/>
    <xf numFmtId="0" fontId="6" fillId="0" borderId="15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6" fillId="0" borderId="63" xfId="0" applyFont="1" applyFill="1" applyBorder="1" applyAlignment="1">
      <alignment horizontal="left" vertical="center" wrapText="1"/>
    </xf>
    <xf numFmtId="0" fontId="0" fillId="0" borderId="0" xfId="0"/>
    <xf numFmtId="0" fontId="6" fillId="0" borderId="0" xfId="0" applyFont="1"/>
    <xf numFmtId="0" fontId="6" fillId="0" borderId="7" xfId="0" applyFont="1" applyFill="1" applyBorder="1" applyAlignment="1">
      <alignment horizontal="left" vertical="center" wrapText="1"/>
    </xf>
    <xf numFmtId="0" fontId="0" fillId="0" borderId="0" xfId="0"/>
    <xf numFmtId="0" fontId="7" fillId="0" borderId="0" xfId="12" applyFont="1"/>
    <xf numFmtId="0" fontId="7" fillId="0" borderId="0" xfId="12" applyFont="1" applyAlignment="1">
      <alignment horizontal="right"/>
    </xf>
    <xf numFmtId="0" fontId="6" fillId="0" borderId="0" xfId="12" applyFont="1" applyAlignment="1">
      <alignment horizontal="right"/>
    </xf>
    <xf numFmtId="0" fontId="7" fillId="0" borderId="0" xfId="12" applyFont="1" applyAlignment="1">
      <alignment horizontal="center"/>
    </xf>
    <xf numFmtId="0" fontId="15" fillId="0" borderId="0" xfId="12" applyFont="1" applyAlignment="1">
      <alignment horizontal="right"/>
    </xf>
    <xf numFmtId="0" fontId="10" fillId="2" borderId="1" xfId="12" applyFont="1" applyFill="1" applyBorder="1" applyAlignment="1">
      <alignment horizontal="center" vertical="center"/>
    </xf>
    <xf numFmtId="0" fontId="10" fillId="2" borderId="2" xfId="12" applyFont="1" applyFill="1" applyBorder="1" applyAlignment="1">
      <alignment vertical="center"/>
    </xf>
    <xf numFmtId="0" fontId="10" fillId="2" borderId="68" xfId="12" applyFont="1" applyFill="1" applyBorder="1" applyAlignment="1">
      <alignment horizontal="center" vertical="center" wrapText="1"/>
    </xf>
    <xf numFmtId="4" fontId="11" fillId="6" borderId="0" xfId="12" applyNumberFormat="1" applyFont="1" applyFill="1" applyAlignment="1">
      <alignment horizontal="center" vertical="center" wrapText="1"/>
    </xf>
    <xf numFmtId="0" fontId="6" fillId="0" borderId="5" xfId="12" applyFont="1" applyBorder="1" applyAlignment="1">
      <alignment horizontal="center" vertical="center"/>
    </xf>
    <xf numFmtId="0" fontId="6" fillId="0" borderId="15" xfId="12" applyFont="1" applyBorder="1" applyAlignment="1">
      <alignment vertical="center" shrinkToFit="1"/>
    </xf>
    <xf numFmtId="0" fontId="6" fillId="0" borderId="28" xfId="12" applyFont="1" applyBorder="1" applyAlignment="1">
      <alignment vertical="center"/>
    </xf>
    <xf numFmtId="0" fontId="3" fillId="0" borderId="0" xfId="12" applyFont="1"/>
    <xf numFmtId="0" fontId="7" fillId="0" borderId="0" xfId="27" applyFont="1"/>
    <xf numFmtId="0" fontId="7" fillId="0" borderId="0" xfId="12" applyFont="1" applyAlignment="1">
      <alignment vertical="center"/>
    </xf>
    <xf numFmtId="0" fontId="6" fillId="0" borderId="6" xfId="12" applyFont="1" applyBorder="1" applyAlignment="1">
      <alignment vertical="center" shrinkToFit="1"/>
    </xf>
    <xf numFmtId="0" fontId="6" fillId="0" borderId="14" xfId="12" applyFont="1" applyBorder="1" applyAlignment="1">
      <alignment vertical="center" wrapText="1" shrinkToFit="1"/>
    </xf>
    <xf numFmtId="0" fontId="21" fillId="2" borderId="34" xfId="12" applyFont="1" applyFill="1" applyBorder="1" applyAlignment="1">
      <alignment horizontal="left" vertical="center"/>
    </xf>
    <xf numFmtId="3" fontId="21" fillId="2" borderId="31" xfId="12" applyNumberFormat="1" applyFont="1" applyFill="1" applyBorder="1" applyAlignment="1">
      <alignment horizontal="right" vertical="center"/>
    </xf>
    <xf numFmtId="0" fontId="7" fillId="0" borderId="0" xfId="27" applyFont="1" applyAlignment="1">
      <alignment horizontal="right"/>
    </xf>
    <xf numFmtId="0" fontId="6" fillId="0" borderId="14" xfId="12" applyFont="1" applyBorder="1" applyAlignment="1">
      <alignment vertical="center" shrinkToFit="1"/>
    </xf>
    <xf numFmtId="0" fontId="6" fillId="0" borderId="13" xfId="11" applyFont="1" applyFill="1" applyBorder="1" applyAlignment="1">
      <alignment horizontal="center"/>
    </xf>
    <xf numFmtId="0" fontId="7" fillId="0" borderId="0" xfId="11" applyFont="1"/>
    <xf numFmtId="0" fontId="10" fillId="2" borderId="1" xfId="11" applyFont="1" applyFill="1" applyBorder="1" applyAlignment="1">
      <alignment horizontal="center" vertical="center"/>
    </xf>
    <xf numFmtId="0" fontId="10" fillId="2" borderId="2" xfId="11" applyFont="1" applyFill="1" applyBorder="1" applyAlignment="1">
      <alignment vertical="center"/>
    </xf>
    <xf numFmtId="3" fontId="21" fillId="2" borderId="31" xfId="11" applyNumberFormat="1" applyFont="1" applyFill="1" applyBorder="1" applyAlignment="1">
      <alignment horizontal="right" vertical="center"/>
    </xf>
    <xf numFmtId="0" fontId="8" fillId="0" borderId="0" xfId="11" applyFont="1" applyAlignment="1">
      <alignment horizontal="center" vertical="center"/>
    </xf>
    <xf numFmtId="0" fontId="31" fillId="6" borderId="0" xfId="11" applyFont="1" applyFill="1" applyAlignment="1">
      <alignment horizontal="left" vertical="center"/>
    </xf>
    <xf numFmtId="0" fontId="10" fillId="2" borderId="33" xfId="11" applyFont="1" applyFill="1" applyBorder="1" applyAlignment="1">
      <alignment vertical="center"/>
    </xf>
    <xf numFmtId="0" fontId="6" fillId="0" borderId="5" xfId="11" applyFont="1" applyBorder="1" applyAlignment="1">
      <alignment horizontal="center" vertical="center"/>
    </xf>
    <xf numFmtId="0" fontId="6" fillId="0" borderId="2" xfId="11" applyFont="1" applyBorder="1" applyAlignment="1">
      <alignment horizontal="left" vertical="center" wrapText="1"/>
    </xf>
    <xf numFmtId="0" fontId="6" fillId="0" borderId="6" xfId="11" applyFont="1" applyBorder="1" applyAlignment="1">
      <alignment horizontal="left" vertical="center" wrapText="1"/>
    </xf>
    <xf numFmtId="0" fontId="32" fillId="2" borderId="34" xfId="11" applyFont="1" applyFill="1" applyBorder="1" applyAlignment="1">
      <alignment horizontal="left" vertical="center"/>
    </xf>
    <xf numFmtId="0" fontId="6" fillId="0" borderId="88" xfId="11" applyFont="1" applyBorder="1" applyAlignment="1">
      <alignment horizontal="center" vertical="center"/>
    </xf>
    <xf numFmtId="0" fontId="6" fillId="0" borderId="89" xfId="11" applyFont="1" applyBorder="1" applyAlignment="1">
      <alignment horizontal="left" vertical="center" wrapText="1"/>
    </xf>
    <xf numFmtId="0" fontId="6" fillId="0" borderId="79" xfId="11" applyFont="1" applyBorder="1" applyAlignment="1">
      <alignment vertical="center"/>
    </xf>
    <xf numFmtId="0" fontId="6" fillId="0" borderId="87" xfId="11" applyFont="1" applyBorder="1" applyAlignment="1">
      <alignment vertical="center"/>
    </xf>
    <xf numFmtId="3" fontId="6" fillId="0" borderId="6" xfId="11" applyNumberFormat="1" applyFont="1" applyBorder="1" applyAlignment="1">
      <alignment horizontal="left" vertical="center" wrapText="1"/>
    </xf>
    <xf numFmtId="0" fontId="21" fillId="2" borderId="92" xfId="11" applyFont="1" applyFill="1" applyBorder="1" applyAlignment="1">
      <alignment horizontal="left" vertical="center"/>
    </xf>
    <xf numFmtId="0" fontId="6" fillId="0" borderId="94" xfId="11" applyFont="1" applyBorder="1" applyAlignment="1">
      <alignment horizontal="left" vertical="center" wrapText="1"/>
    </xf>
    <xf numFmtId="0" fontId="10" fillId="2" borderId="3" xfId="11" applyFont="1" applyFill="1" applyBorder="1" applyAlignment="1">
      <alignment vertical="center"/>
    </xf>
    <xf numFmtId="0" fontId="10" fillId="2" borderId="68" xfId="11" applyFont="1" applyFill="1" applyBorder="1" applyAlignment="1">
      <alignment horizontal="center" vertical="center" wrapText="1"/>
    </xf>
    <xf numFmtId="3" fontId="21" fillId="2" borderId="31" xfId="11" applyNumberFormat="1" applyFont="1" applyFill="1" applyBorder="1" applyAlignment="1">
      <alignment horizontal="right" vertical="center"/>
    </xf>
    <xf numFmtId="0" fontId="0" fillId="0" borderId="0" xfId="0"/>
    <xf numFmtId="0" fontId="2" fillId="0" borderId="0" xfId="28"/>
    <xf numFmtId="165" fontId="22" fillId="9" borderId="100" xfId="28" applyNumberFormat="1" applyFont="1" applyFill="1" applyBorder="1" applyAlignment="1">
      <alignment horizontal="center" vertical="center"/>
    </xf>
    <xf numFmtId="0" fontId="22" fillId="9" borderId="101" xfId="28" applyFont="1" applyFill="1" applyBorder="1" applyAlignment="1">
      <alignment horizontal="center" vertical="center"/>
    </xf>
    <xf numFmtId="3" fontId="22" fillId="9" borderId="102" xfId="28" applyNumberFormat="1" applyFont="1" applyFill="1" applyBorder="1" applyAlignment="1">
      <alignment horizontal="center" vertical="center" wrapText="1"/>
    </xf>
    <xf numFmtId="0" fontId="37" fillId="9" borderId="105" xfId="28" applyFont="1" applyFill="1" applyBorder="1" applyAlignment="1">
      <alignment horizontal="left" wrapText="1"/>
    </xf>
    <xf numFmtId="0" fontId="37" fillId="9" borderId="106" xfId="28" applyFont="1" applyFill="1" applyBorder="1" applyAlignment="1">
      <alignment horizontal="left" wrapText="1"/>
    </xf>
    <xf numFmtId="3" fontId="37" fillId="9" borderId="106" xfId="28" applyNumberFormat="1" applyFont="1" applyFill="1" applyBorder="1"/>
    <xf numFmtId="3" fontId="37" fillId="9" borderId="107" xfId="28" applyNumberFormat="1" applyFont="1" applyFill="1" applyBorder="1"/>
    <xf numFmtId="0" fontId="7" fillId="0" borderId="0" xfId="29" applyFont="1"/>
    <xf numFmtId="0" fontId="7" fillId="0" borderId="0" xfId="29" applyFont="1" applyAlignment="1">
      <alignment horizontal="right"/>
    </xf>
    <xf numFmtId="0" fontId="7" fillId="0" borderId="0" xfId="29" applyFont="1" applyAlignment="1">
      <alignment vertical="center"/>
    </xf>
    <xf numFmtId="3" fontId="6" fillId="0" borderId="6" xfId="29" applyNumberFormat="1" applyFont="1" applyBorder="1" applyAlignment="1">
      <alignment horizontal="center" vertical="center"/>
    </xf>
    <xf numFmtId="0" fontId="6" fillId="0" borderId="25" xfId="29" applyFont="1" applyBorder="1" applyAlignment="1">
      <alignment horizontal="center" vertical="center"/>
    </xf>
    <xf numFmtId="3" fontId="6" fillId="0" borderId="6" xfId="29" applyNumberFormat="1" applyFont="1" applyBorder="1" applyAlignment="1" applyProtection="1">
      <alignment horizontal="center" vertical="center"/>
      <protection hidden="1"/>
    </xf>
    <xf numFmtId="0" fontId="7" fillId="0" borderId="0" xfId="29" applyFont="1" applyAlignment="1">
      <alignment horizontal="center"/>
    </xf>
    <xf numFmtId="3" fontId="14" fillId="6" borderId="6" xfId="29" applyNumberFormat="1" applyFont="1" applyFill="1" applyBorder="1" applyAlignment="1">
      <alignment horizontal="center" vertical="center"/>
    </xf>
    <xf numFmtId="0" fontId="6" fillId="0" borderId="25" xfId="29" applyFont="1" applyBorder="1" applyAlignment="1">
      <alignment vertical="center"/>
    </xf>
    <xf numFmtId="3" fontId="6" fillId="0" borderId="35" xfId="29" applyNumberFormat="1" applyFont="1" applyBorder="1" applyAlignment="1">
      <alignment horizontal="center" vertical="center"/>
    </xf>
    <xf numFmtId="3" fontId="6" fillId="6" borderId="35" xfId="29" applyNumberFormat="1" applyFont="1" applyFill="1" applyBorder="1" applyAlignment="1">
      <alignment horizontal="center" vertical="center"/>
    </xf>
    <xf numFmtId="0" fontId="6" fillId="0" borderId="31" xfId="29" applyFont="1" applyBorder="1" applyAlignment="1">
      <alignment vertical="center"/>
    </xf>
    <xf numFmtId="3" fontId="14" fillId="0" borderId="6" xfId="29" applyNumberFormat="1" applyFont="1" applyBorder="1" applyAlignment="1">
      <alignment horizontal="center" vertical="center"/>
    </xf>
    <xf numFmtId="3" fontId="14" fillId="19" borderId="6" xfId="29" applyNumberFormat="1" applyFont="1" applyFill="1" applyBorder="1" applyAlignment="1">
      <alignment horizontal="center" vertical="center"/>
    </xf>
    <xf numFmtId="3" fontId="14" fillId="20" borderId="6" xfId="29" applyNumberFormat="1" applyFont="1" applyFill="1" applyBorder="1" applyAlignment="1">
      <alignment horizontal="center" vertical="center"/>
    </xf>
    <xf numFmtId="0" fontId="49" fillId="18" borderId="5" xfId="29" applyFont="1" applyFill="1" applyBorder="1" applyAlignment="1">
      <alignment vertical="center"/>
    </xf>
    <xf numFmtId="0" fontId="49" fillId="18" borderId="5" xfId="29" applyFont="1" applyFill="1" applyBorder="1" applyAlignment="1">
      <alignment vertical="center" wrapText="1"/>
    </xf>
    <xf numFmtId="0" fontId="49" fillId="18" borderId="34" xfId="29" applyFont="1" applyFill="1" applyBorder="1" applyAlignment="1">
      <alignment vertical="center" wrapText="1"/>
    </xf>
    <xf numFmtId="0" fontId="49" fillId="18" borderId="6" xfId="29" applyFont="1" applyFill="1" applyBorder="1" applyAlignment="1">
      <alignment horizontal="center" vertical="center"/>
    </xf>
    <xf numFmtId="0" fontId="52" fillId="18" borderId="6" xfId="29" applyFont="1" applyFill="1" applyBorder="1" applyAlignment="1">
      <alignment horizontal="center" vertical="center" wrapText="1"/>
    </xf>
    <xf numFmtId="0" fontId="52" fillId="18" borderId="25" xfId="29" applyFont="1" applyFill="1" applyBorder="1" applyAlignment="1">
      <alignment horizontal="center" vertical="center" wrapText="1"/>
    </xf>
    <xf numFmtId="3" fontId="6" fillId="21" borderId="6" xfId="29" applyNumberFormat="1" applyFont="1" applyFill="1" applyBorder="1" applyAlignment="1">
      <alignment horizontal="center" vertical="center"/>
    </xf>
    <xf numFmtId="3" fontId="14" fillId="22" borderId="6" xfId="29" applyNumberFormat="1" applyFont="1" applyFill="1" applyBorder="1" applyAlignment="1">
      <alignment horizontal="center" vertical="center"/>
    </xf>
    <xf numFmtId="3" fontId="14" fillId="20" borderId="35" xfId="29" applyNumberFormat="1" applyFont="1" applyFill="1" applyBorder="1" applyAlignment="1">
      <alignment horizontal="center" vertical="center"/>
    </xf>
    <xf numFmtId="0" fontId="14" fillId="20" borderId="25" xfId="29" applyFont="1" applyFill="1" applyBorder="1" applyAlignment="1">
      <alignment horizontal="center" vertical="center"/>
    </xf>
    <xf numFmtId="0" fontId="50" fillId="0" borderId="0" xfId="29" applyFont="1"/>
    <xf numFmtId="0" fontId="56" fillId="0" borderId="0" xfId="29" applyFont="1"/>
    <xf numFmtId="0" fontId="6" fillId="0" borderId="26" xfId="12" applyFont="1" applyFill="1" applyBorder="1" applyAlignment="1">
      <alignment horizontal="center" vertical="center" wrapText="1"/>
    </xf>
    <xf numFmtId="0" fontId="6" fillId="0" borderId="6" xfId="12" applyFont="1" applyBorder="1" applyAlignment="1">
      <alignment vertical="center" wrapText="1" shrinkToFit="1"/>
    </xf>
    <xf numFmtId="0" fontId="6" fillId="0" borderId="27" xfId="12" applyFont="1" applyBorder="1" applyAlignment="1">
      <alignment vertical="center" wrapText="1"/>
    </xf>
    <xf numFmtId="0" fontId="6" fillId="0" borderId="6" xfId="12" applyFont="1" applyBorder="1" applyAlignment="1">
      <alignment vertical="center" wrapText="1"/>
    </xf>
    <xf numFmtId="0" fontId="6" fillId="0" borderId="63" xfId="12" applyFont="1" applyBorder="1" applyAlignment="1">
      <alignment vertical="center" wrapText="1"/>
    </xf>
    <xf numFmtId="0" fontId="6" fillId="0" borderId="38" xfId="12" applyFont="1" applyBorder="1" applyAlignment="1">
      <alignment horizontal="left" vertical="center" wrapText="1"/>
    </xf>
    <xf numFmtId="0" fontId="6" fillId="0" borderId="64" xfId="12" applyFont="1" applyBorder="1" applyAlignment="1">
      <alignment horizontal="left" vertical="center" wrapText="1"/>
    </xf>
    <xf numFmtId="0" fontId="6" fillId="0" borderId="38" xfId="12" applyFont="1" applyBorder="1" applyAlignment="1">
      <alignment vertical="center" wrapText="1"/>
    </xf>
    <xf numFmtId="0" fontId="6" fillId="0" borderId="15" xfId="12" applyFont="1" applyBorder="1" applyAlignment="1">
      <alignment vertical="center" wrapText="1"/>
    </xf>
    <xf numFmtId="0" fontId="6" fillId="0" borderId="25" xfId="12" applyFont="1" applyBorder="1" applyAlignment="1">
      <alignment vertical="center"/>
    </xf>
    <xf numFmtId="3" fontId="6" fillId="6" borderId="70" xfId="12" applyNumberFormat="1" applyFont="1" applyFill="1" applyBorder="1" applyAlignment="1">
      <alignment vertical="center" wrapText="1"/>
    </xf>
    <xf numFmtId="3" fontId="6" fillId="6" borderId="25" xfId="12" applyNumberFormat="1" applyFont="1" applyFill="1" applyBorder="1" applyAlignment="1">
      <alignment vertical="center" wrapText="1"/>
    </xf>
    <xf numFmtId="0" fontId="6" fillId="6" borderId="25" xfId="12" applyFont="1" applyFill="1" applyBorder="1" applyAlignment="1">
      <alignment vertical="center" wrapText="1"/>
    </xf>
    <xf numFmtId="0" fontId="6" fillId="6" borderId="28" xfId="12" applyFont="1" applyFill="1" applyBorder="1" applyAlignment="1">
      <alignment vertical="center" wrapText="1"/>
    </xf>
    <xf numFmtId="0" fontId="6" fillId="6" borderId="70" xfId="12" applyFont="1" applyFill="1" applyBorder="1" applyAlignment="1">
      <alignment vertical="center" wrapText="1"/>
    </xf>
    <xf numFmtId="169" fontId="6" fillId="6" borderId="25" xfId="12" applyNumberFormat="1" applyFont="1" applyFill="1" applyBorder="1" applyAlignment="1">
      <alignment vertical="center" wrapText="1"/>
    </xf>
    <xf numFmtId="169" fontId="6" fillId="6" borderId="28" xfId="12" applyNumberFormat="1" applyFont="1" applyFill="1" applyBorder="1" applyAlignment="1">
      <alignment vertical="center" wrapText="1"/>
    </xf>
    <xf numFmtId="0" fontId="0" fillId="0" borderId="0" xfId="0"/>
    <xf numFmtId="0" fontId="0" fillId="0" borderId="0" xfId="0"/>
    <xf numFmtId="2" fontId="6" fillId="6" borderId="74" xfId="2" applyNumberFormat="1" applyFont="1" applyFill="1" applyBorder="1" applyAlignment="1">
      <alignment horizontal="center" vertical="center"/>
    </xf>
    <xf numFmtId="4" fontId="6" fillId="6" borderId="74" xfId="2" applyNumberFormat="1" applyFont="1" applyFill="1" applyBorder="1" applyAlignment="1">
      <alignment horizontal="center" vertical="center"/>
    </xf>
    <xf numFmtId="4" fontId="6" fillId="6" borderId="74" xfId="2" applyNumberFormat="1" applyFont="1" applyFill="1" applyBorder="1" applyAlignment="1">
      <alignment horizontal="center"/>
    </xf>
    <xf numFmtId="2" fontId="6" fillId="6" borderId="38" xfId="2" applyNumberFormat="1" applyFont="1" applyFill="1" applyBorder="1" applyAlignment="1">
      <alignment horizontal="center" vertical="center"/>
    </xf>
    <xf numFmtId="4" fontId="6" fillId="6" borderId="38" xfId="2" applyNumberFormat="1" applyFont="1" applyFill="1" applyBorder="1" applyAlignment="1">
      <alignment horizontal="center" vertical="center"/>
    </xf>
    <xf numFmtId="4" fontId="6" fillId="6" borderId="38" xfId="2" applyNumberFormat="1" applyFont="1" applyFill="1" applyBorder="1" applyAlignment="1">
      <alignment horizontal="center"/>
    </xf>
    <xf numFmtId="0" fontId="6" fillId="6" borderId="38" xfId="2" applyNumberFormat="1" applyFont="1" applyFill="1" applyBorder="1" applyAlignment="1">
      <alignment horizontal="center"/>
    </xf>
    <xf numFmtId="4" fontId="6" fillId="6" borderId="63" xfId="2" applyNumberFormat="1" applyFont="1" applyFill="1" applyBorder="1" applyAlignment="1">
      <alignment horizontal="center" vertical="center"/>
    </xf>
    <xf numFmtId="2" fontId="6" fillId="6" borderId="27" xfId="2" applyNumberFormat="1" applyFont="1" applyFill="1" applyBorder="1" applyAlignment="1">
      <alignment horizontal="center" vertical="center"/>
    </xf>
    <xf numFmtId="4" fontId="6" fillId="6" borderId="6" xfId="2" applyNumberFormat="1" applyFont="1" applyFill="1" applyBorder="1" applyAlignment="1">
      <alignment horizontal="center" vertical="center"/>
    </xf>
    <xf numFmtId="2" fontId="6" fillId="6" borderId="7" xfId="2" applyNumberFormat="1" applyFont="1" applyFill="1" applyBorder="1" applyAlignment="1">
      <alignment horizontal="center" vertical="center"/>
    </xf>
    <xf numFmtId="2" fontId="6" fillId="6" borderId="72" xfId="2" applyNumberFormat="1" applyFont="1" applyFill="1" applyBorder="1" applyAlignment="1">
      <alignment horizontal="center" vertical="center"/>
    </xf>
    <xf numFmtId="2" fontId="6" fillId="6" borderId="63" xfId="2" applyNumberFormat="1" applyFont="1" applyFill="1" applyBorder="1" applyAlignment="1">
      <alignment horizontal="center" vertical="center"/>
    </xf>
    <xf numFmtId="4" fontId="6" fillId="6" borderId="63" xfId="2" applyNumberFormat="1" applyFont="1" applyFill="1" applyBorder="1" applyAlignment="1">
      <alignment horizontal="center"/>
    </xf>
    <xf numFmtId="0" fontId="6" fillId="6" borderId="63" xfId="2" applyNumberFormat="1" applyFont="1" applyFill="1" applyBorder="1" applyAlignment="1">
      <alignment horizontal="center"/>
    </xf>
    <xf numFmtId="2" fontId="22" fillId="2" borderId="75" xfId="2" applyNumberFormat="1" applyFont="1" applyFill="1" applyBorder="1" applyAlignment="1">
      <alignment horizontal="center" vertical="center"/>
    </xf>
    <xf numFmtId="3" fontId="6" fillId="6" borderId="28" xfId="0" applyNumberFormat="1" applyFont="1" applyFill="1" applyBorder="1" applyAlignment="1">
      <alignment horizontal="right" vertical="center"/>
    </xf>
    <xf numFmtId="0" fontId="0" fillId="0" borderId="0" xfId="0"/>
    <xf numFmtId="0" fontId="50" fillId="0" borderId="79" xfId="0" applyFont="1" applyFill="1" applyBorder="1"/>
    <xf numFmtId="0" fontId="50" fillId="0" borderId="79" xfId="0" applyFont="1" applyFill="1" applyBorder="1" applyAlignment="1">
      <alignment vertical="center"/>
    </xf>
    <xf numFmtId="0" fontId="50" fillId="0" borderId="79" xfId="0" applyFont="1" applyFill="1" applyBorder="1" applyAlignment="1">
      <alignment vertical="center" wrapText="1"/>
    </xf>
    <xf numFmtId="0" fontId="50" fillId="0" borderId="85" xfId="0" applyFont="1" applyFill="1" applyBorder="1" applyAlignment="1">
      <alignment horizontal="left" vertical="center"/>
    </xf>
    <xf numFmtId="0" fontId="50" fillId="0" borderId="85" xfId="0" applyFont="1" applyFill="1" applyBorder="1"/>
    <xf numFmtId="0" fontId="50" fillId="0" borderId="85" xfId="0" applyFont="1" applyFill="1" applyBorder="1" applyAlignment="1">
      <alignment vertical="center" wrapText="1"/>
    </xf>
    <xf numFmtId="0" fontId="57" fillId="0" borderId="79" xfId="0" applyFont="1" applyFill="1" applyBorder="1" applyAlignment="1">
      <alignment vertical="center" wrapText="1"/>
    </xf>
    <xf numFmtId="0" fontId="50" fillId="0" borderId="79" xfId="0" applyFont="1" applyFill="1" applyBorder="1" applyAlignment="1">
      <alignment horizontal="left" vertical="center" wrapText="1"/>
    </xf>
    <xf numFmtId="0" fontId="50" fillId="0" borderId="79" xfId="0" applyFont="1" applyBorder="1" applyAlignment="1">
      <alignment vertical="center" wrapText="1"/>
    </xf>
    <xf numFmtId="0" fontId="50" fillId="0" borderId="85" xfId="0" applyFont="1" applyFill="1" applyBorder="1" applyAlignment="1">
      <alignment vertical="center"/>
    </xf>
    <xf numFmtId="0" fontId="58" fillId="2" borderId="62" xfId="0" applyFont="1" applyFill="1" applyBorder="1" applyAlignment="1">
      <alignment horizontal="left" vertical="center" wrapText="1"/>
    </xf>
    <xf numFmtId="3" fontId="58" fillId="2" borderId="62" xfId="0" applyNumberFormat="1" applyFont="1" applyFill="1" applyBorder="1" applyAlignment="1">
      <alignment vertical="center"/>
    </xf>
    <xf numFmtId="3" fontId="6" fillId="23" borderId="25" xfId="0" applyNumberFormat="1" applyFont="1" applyFill="1" applyBorder="1" applyAlignment="1">
      <alignment horizontal="right"/>
    </xf>
    <xf numFmtId="3" fontId="14" fillId="23" borderId="25" xfId="0" applyNumberFormat="1" applyFont="1" applyFill="1" applyBorder="1" applyAlignment="1">
      <alignment horizontal="right"/>
    </xf>
    <xf numFmtId="10" fontId="14" fillId="23" borderId="25" xfId="0" applyNumberFormat="1" applyFont="1" applyFill="1" applyBorder="1" applyAlignment="1">
      <alignment horizontal="right" vertical="center"/>
    </xf>
    <xf numFmtId="3" fontId="14" fillId="23" borderId="28" xfId="0" applyNumberFormat="1" applyFont="1" applyFill="1" applyBorder="1" applyAlignment="1">
      <alignment horizontal="right" vertical="center"/>
    </xf>
    <xf numFmtId="10" fontId="14" fillId="23" borderId="31" xfId="0" applyNumberFormat="1" applyFont="1" applyFill="1" applyBorder="1" applyAlignment="1">
      <alignment horizontal="right" vertical="center"/>
    </xf>
    <xf numFmtId="49" fontId="59" fillId="16" borderId="98" xfId="28" applyNumberFormat="1" applyFont="1" applyFill="1" applyBorder="1" applyAlignment="1">
      <alignment horizontal="center"/>
    </xf>
    <xf numFmtId="0" fontId="50" fillId="16" borderId="85" xfId="28" applyFont="1" applyFill="1" applyBorder="1" applyAlignment="1">
      <alignment horizontal="left"/>
    </xf>
    <xf numFmtId="0" fontId="50" fillId="16" borderId="96" xfId="28" applyFont="1" applyFill="1" applyBorder="1" applyAlignment="1">
      <alignment horizontal="left"/>
    </xf>
    <xf numFmtId="0" fontId="6" fillId="16" borderId="79" xfId="28" applyFont="1" applyFill="1" applyBorder="1"/>
    <xf numFmtId="0" fontId="6" fillId="16" borderId="80" xfId="28" applyFont="1" applyFill="1" applyBorder="1" applyAlignment="1">
      <alignment vertical="center" wrapText="1"/>
    </xf>
    <xf numFmtId="0" fontId="6" fillId="16" borderId="80" xfId="28" applyFont="1" applyFill="1" applyBorder="1" applyAlignment="1">
      <alignment wrapText="1"/>
    </xf>
    <xf numFmtId="0" fontId="50" fillId="16" borderId="97" xfId="28" applyFont="1" applyFill="1" applyBorder="1" applyAlignment="1">
      <alignment horizontal="left"/>
    </xf>
    <xf numFmtId="0" fontId="6" fillId="16" borderId="85" xfId="28" applyFont="1" applyFill="1" applyBorder="1"/>
    <xf numFmtId="0" fontId="50" fillId="16" borderId="79" xfId="28" applyFont="1" applyFill="1" applyBorder="1" applyAlignment="1">
      <alignment horizontal="left"/>
    </xf>
    <xf numFmtId="0" fontId="6" fillId="16" borderId="80" xfId="28" applyFont="1" applyFill="1" applyBorder="1" applyAlignment="1">
      <alignment vertical="center"/>
    </xf>
    <xf numFmtId="0" fontId="57" fillId="16" borderId="79" xfId="28" applyFont="1" applyFill="1" applyBorder="1"/>
    <xf numFmtId="0" fontId="57" fillId="0" borderId="80" xfId="28" applyFont="1" applyBorder="1"/>
    <xf numFmtId="0" fontId="57" fillId="16" borderId="80" xfId="28" applyFont="1" applyFill="1" applyBorder="1"/>
    <xf numFmtId="49" fontId="59" fillId="0" borderId="98" xfId="28" applyNumberFormat="1" applyFont="1" applyFill="1" applyBorder="1" applyAlignment="1">
      <alignment horizontal="center"/>
    </xf>
    <xf numFmtId="0" fontId="50" fillId="0" borderId="97" xfId="28" applyFont="1" applyFill="1" applyBorder="1" applyAlignment="1">
      <alignment horizontal="left"/>
    </xf>
    <xf numFmtId="0" fontId="50" fillId="0" borderId="99" xfId="28" applyFont="1" applyFill="1" applyBorder="1" applyAlignment="1">
      <alignment horizontal="left"/>
    </xf>
    <xf numFmtId="0" fontId="50" fillId="0" borderId="79" xfId="28" applyFont="1" applyFill="1" applyBorder="1" applyAlignment="1">
      <alignment horizontal="left"/>
    </xf>
    <xf numFmtId="0" fontId="50" fillId="0" borderId="87" xfId="28" applyFont="1" applyFill="1" applyBorder="1" applyAlignment="1">
      <alignment horizontal="left"/>
    </xf>
    <xf numFmtId="0" fontId="50" fillId="0" borderId="85" xfId="28" applyFont="1" applyFill="1" applyBorder="1" applyAlignment="1">
      <alignment horizontal="left"/>
    </xf>
    <xf numFmtId="0" fontId="50" fillId="0" borderId="96" xfId="28" applyFont="1" applyFill="1" applyBorder="1" applyAlignment="1">
      <alignment horizontal="left"/>
    </xf>
    <xf numFmtId="0" fontId="60" fillId="16" borderId="85" xfId="28" applyFont="1" applyFill="1" applyBorder="1" applyAlignment="1">
      <alignment horizontal="left"/>
    </xf>
    <xf numFmtId="0" fontId="59" fillId="16" borderId="96" xfId="28" applyFont="1" applyFill="1" applyBorder="1" applyAlignment="1">
      <alignment horizontal="left"/>
    </xf>
    <xf numFmtId="0" fontId="60" fillId="16" borderId="79" xfId="28" applyFont="1" applyFill="1" applyBorder="1" applyAlignment="1">
      <alignment horizontal="left"/>
    </xf>
    <xf numFmtId="0" fontId="59" fillId="16" borderId="96" xfId="28" applyFont="1" applyFill="1" applyBorder="1" applyAlignment="1">
      <alignment horizontal="left" wrapText="1"/>
    </xf>
    <xf numFmtId="0" fontId="60" fillId="16" borderId="96" xfId="28" applyFont="1" applyFill="1" applyBorder="1" applyAlignment="1">
      <alignment horizontal="left"/>
    </xf>
    <xf numFmtId="0" fontId="59" fillId="16" borderId="79" xfId="28" applyFont="1" applyFill="1" applyBorder="1" applyAlignment="1">
      <alignment horizontal="left"/>
    </xf>
    <xf numFmtId="0" fontId="57" fillId="16" borderId="96" xfId="28" applyFont="1" applyFill="1" applyBorder="1"/>
    <xf numFmtId="0" fontId="57" fillId="0" borderId="79" xfId="27" applyFont="1" applyFill="1" applyBorder="1"/>
    <xf numFmtId="3" fontId="57" fillId="16" borderId="79" xfId="27" applyNumberFormat="1" applyFont="1" applyFill="1" applyBorder="1"/>
    <xf numFmtId="0" fontId="57" fillId="0" borderId="83" xfId="27" applyFont="1" applyBorder="1"/>
    <xf numFmtId="3" fontId="57" fillId="16" borderId="79" xfId="27" applyNumberFormat="1" applyFont="1" applyFill="1" applyBorder="1" applyAlignment="1">
      <alignment wrapText="1"/>
    </xf>
    <xf numFmtId="0" fontId="57" fillId="0" borderId="83" xfId="27" applyFont="1" applyFill="1" applyBorder="1"/>
    <xf numFmtId="0" fontId="57" fillId="0" borderId="79" xfId="27" applyFont="1" applyBorder="1"/>
    <xf numFmtId="0" fontId="57" fillId="0" borderId="84" xfId="27" applyFont="1" applyFill="1" applyBorder="1"/>
    <xf numFmtId="3" fontId="57" fillId="16" borderId="85" xfId="27" applyNumberFormat="1" applyFont="1" applyFill="1" applyBorder="1"/>
    <xf numFmtId="0" fontId="61" fillId="2" borderId="35" xfId="11" applyFont="1" applyFill="1" applyBorder="1" applyAlignment="1">
      <alignment vertical="center"/>
    </xf>
    <xf numFmtId="0" fontId="0" fillId="0" borderId="0" xfId="0"/>
    <xf numFmtId="0" fontId="0" fillId="0" borderId="0" xfId="0"/>
    <xf numFmtId="3" fontId="11" fillId="3" borderId="25" xfId="0" applyNumberFormat="1" applyFont="1" applyFill="1" applyBorder="1" applyAlignment="1">
      <alignment vertical="center"/>
    </xf>
    <xf numFmtId="3" fontId="50" fillId="0" borderId="108" xfId="0" applyNumberFormat="1" applyFont="1" applyFill="1" applyBorder="1"/>
    <xf numFmtId="3" fontId="50" fillId="0" borderId="108" xfId="0" applyNumberFormat="1" applyFont="1" applyFill="1" applyBorder="1" applyAlignment="1">
      <alignment vertical="center"/>
    </xf>
    <xf numFmtId="3" fontId="50" fillId="0" borderId="108" xfId="0" applyNumberFormat="1" applyFont="1" applyFill="1" applyBorder="1" applyAlignment="1">
      <alignment vertical="center" wrapText="1"/>
    </xf>
    <xf numFmtId="3" fontId="57" fillId="0" borderId="108" xfId="0" applyNumberFormat="1" applyFont="1" applyFill="1" applyBorder="1"/>
    <xf numFmtId="3" fontId="57" fillId="0" borderId="108" xfId="0" applyNumberFormat="1" applyFont="1" applyFill="1" applyBorder="1" applyAlignment="1">
      <alignment horizontal="right"/>
    </xf>
    <xf numFmtId="3" fontId="50" fillId="0" borderId="109" xfId="0" applyNumberFormat="1" applyFont="1" applyFill="1" applyBorder="1"/>
    <xf numFmtId="3" fontId="50" fillId="0" borderId="109" xfId="0" applyNumberFormat="1" applyFont="1" applyFill="1" applyBorder="1" applyAlignment="1">
      <alignment vertical="center"/>
    </xf>
    <xf numFmtId="3" fontId="18" fillId="2" borderId="68" xfId="0" applyNumberFormat="1" applyFont="1" applyFill="1" applyBorder="1" applyAlignment="1">
      <alignment horizontal="center" vertical="center" wrapText="1"/>
    </xf>
    <xf numFmtId="3" fontId="8" fillId="0" borderId="0" xfId="11" applyNumberFormat="1" applyFont="1" applyAlignment="1">
      <alignment horizontal="center" vertical="center"/>
    </xf>
    <xf numFmtId="3" fontId="7" fillId="0" borderId="0" xfId="11" applyNumberFormat="1" applyFont="1"/>
    <xf numFmtId="3" fontId="10" fillId="2" borderId="23" xfId="11" applyNumberFormat="1" applyFont="1" applyFill="1" applyBorder="1" applyAlignment="1">
      <alignment horizontal="center" vertical="center" wrapText="1"/>
    </xf>
    <xf numFmtId="3" fontId="6" fillId="0" borderId="68" xfId="11" applyNumberFormat="1" applyFont="1" applyBorder="1" applyAlignment="1">
      <alignment wrapText="1"/>
    </xf>
    <xf numFmtId="3" fontId="6" fillId="0" borderId="25" xfId="11" applyNumberFormat="1" applyFont="1" applyBorder="1" applyAlignment="1">
      <alignment wrapText="1"/>
    </xf>
    <xf numFmtId="3" fontId="6" fillId="0" borderId="90" xfId="11" applyNumberFormat="1" applyFont="1" applyBorder="1" applyAlignment="1">
      <alignment wrapText="1"/>
    </xf>
    <xf numFmtId="3" fontId="7" fillId="0" borderId="0" xfId="11" applyNumberFormat="1" applyFont="1" applyFill="1" applyAlignment="1">
      <alignment vertical="center"/>
    </xf>
    <xf numFmtId="3" fontId="2" fillId="0" borderId="0" xfId="28" applyNumberFormat="1"/>
    <xf numFmtId="3" fontId="50" fillId="16" borderId="103" xfId="28" applyNumberFormat="1" applyFont="1" applyFill="1" applyBorder="1"/>
    <xf numFmtId="3" fontId="50" fillId="16" borderId="91" xfId="28" applyNumberFormat="1" applyFont="1" applyFill="1" applyBorder="1"/>
    <xf numFmtId="3" fontId="50" fillId="0" borderId="93" xfId="28" applyNumberFormat="1" applyFont="1" applyFill="1" applyBorder="1"/>
    <xf numFmtId="3" fontId="50" fillId="0" borderId="104" xfId="28" applyNumberFormat="1" applyFont="1" applyFill="1" applyBorder="1"/>
    <xf numFmtId="3" fontId="50" fillId="0" borderId="91" xfId="28" applyNumberFormat="1" applyFont="1" applyFill="1" applyBorder="1"/>
    <xf numFmtId="3" fontId="50" fillId="0" borderId="103" xfId="28" applyNumberFormat="1" applyFont="1" applyFill="1" applyBorder="1"/>
    <xf numFmtId="3" fontId="59" fillId="16" borderId="103" xfId="28" applyNumberFormat="1" applyFont="1" applyFill="1" applyBorder="1"/>
    <xf numFmtId="3" fontId="60" fillId="16" borderId="103" xfId="28" applyNumberFormat="1" applyFont="1" applyFill="1" applyBorder="1"/>
    <xf numFmtId="0" fontId="62" fillId="0" borderId="0" xfId="0" applyFont="1" applyAlignment="1">
      <alignment horizontal="left" vertical="center" wrapText="1"/>
    </xf>
    <xf numFmtId="0" fontId="62" fillId="0" borderId="0" xfId="0" applyFont="1" applyAlignment="1">
      <alignment horizontal="center" vertical="center" wrapText="1"/>
    </xf>
    <xf numFmtId="49" fontId="63" fillId="0" borderId="0" xfId="0" applyNumberFormat="1" applyFont="1" applyAlignment="1">
      <alignment horizontal="center"/>
    </xf>
    <xf numFmtId="4" fontId="63" fillId="0" borderId="0" xfId="0" applyNumberFormat="1" applyFont="1" applyAlignment="1">
      <alignment horizontal="center" vertical="center" wrapText="1"/>
    </xf>
    <xf numFmtId="172" fontId="63" fillId="0" borderId="0" xfId="0" applyNumberFormat="1" applyFont="1" applyAlignment="1">
      <alignment horizontal="center"/>
    </xf>
    <xf numFmtId="4" fontId="63" fillId="0" borderId="0" xfId="0" applyNumberFormat="1" applyFont="1" applyAlignment="1">
      <alignment horizontal="center"/>
    </xf>
    <xf numFmtId="4" fontId="63" fillId="0" borderId="0" xfId="0" applyNumberFormat="1" applyFont="1" applyAlignment="1">
      <alignment horizontal="center" vertical="center"/>
    </xf>
    <xf numFmtId="0" fontId="48" fillId="0" borderId="79" xfId="0" applyFont="1" applyFill="1" applyBorder="1" applyAlignment="1">
      <alignment horizontal="center"/>
    </xf>
    <xf numFmtId="14" fontId="48" fillId="0" borderId="79" xfId="0" applyNumberFormat="1" applyFont="1" applyFill="1" applyBorder="1" applyAlignment="1">
      <alignment horizontal="center"/>
    </xf>
    <xf numFmtId="4" fontId="48" fillId="0" borderId="79" xfId="0" applyNumberFormat="1" applyFont="1" applyFill="1" applyBorder="1" applyAlignment="1">
      <alignment horizontal="center"/>
    </xf>
    <xf numFmtId="49" fontId="48" fillId="0" borderId="79" xfId="0" applyNumberFormat="1" applyFont="1" applyFill="1" applyBorder="1" applyAlignment="1">
      <alignment horizontal="center"/>
    </xf>
    <xf numFmtId="172" fontId="48" fillId="0" borderId="79" xfId="0" applyNumberFormat="1" applyFont="1" applyFill="1" applyBorder="1" applyAlignment="1">
      <alignment horizontal="center"/>
    </xf>
    <xf numFmtId="14" fontId="48" fillId="0" borderId="79" xfId="0" applyNumberFormat="1" applyFont="1" applyFill="1" applyBorder="1" applyAlignment="1">
      <alignment horizontal="center" vertical="center"/>
    </xf>
    <xf numFmtId="172" fontId="48" fillId="0" borderId="79" xfId="0" applyNumberFormat="1" applyFont="1" applyFill="1" applyBorder="1" applyAlignment="1">
      <alignment horizontal="center" vertical="center"/>
    </xf>
    <xf numFmtId="4" fontId="48" fillId="0" borderId="79" xfId="0" applyNumberFormat="1" applyFont="1" applyFill="1" applyBorder="1" applyAlignment="1">
      <alignment horizontal="center" vertical="center"/>
    </xf>
    <xf numFmtId="170" fontId="48" fillId="0" borderId="79" xfId="0" applyNumberFormat="1" applyFont="1" applyFill="1" applyBorder="1" applyAlignment="1">
      <alignment horizontal="center"/>
    </xf>
    <xf numFmtId="171" fontId="48" fillId="0" borderId="79" xfId="0" applyNumberFormat="1" applyFont="1" applyFill="1" applyBorder="1" applyAlignment="1">
      <alignment horizontal="center"/>
    </xf>
    <xf numFmtId="173" fontId="48" fillId="0" borderId="79" xfId="0" applyNumberFormat="1" applyFont="1" applyFill="1" applyBorder="1" applyAlignment="1">
      <alignment horizontal="center"/>
    </xf>
    <xf numFmtId="49" fontId="48" fillId="0" borderId="79" xfId="0" applyNumberFormat="1" applyFont="1" applyFill="1" applyBorder="1" applyAlignment="1">
      <alignment horizontal="center" vertical="center"/>
    </xf>
    <xf numFmtId="0" fontId="52" fillId="24" borderId="79" xfId="0" applyFont="1" applyFill="1" applyBorder="1" applyAlignment="1">
      <alignment horizontal="center" vertical="center"/>
    </xf>
    <xf numFmtId="4" fontId="52" fillId="24" borderId="79" xfId="0" applyNumberFormat="1" applyFont="1" applyFill="1" applyBorder="1" applyAlignment="1">
      <alignment horizontal="center" vertical="center" wrapText="1"/>
    </xf>
    <xf numFmtId="4" fontId="52" fillId="24" borderId="79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22" fillId="2" borderId="54" xfId="2" applyFont="1" applyFill="1" applyBorder="1" applyAlignment="1">
      <alignment horizontal="center" vertical="center"/>
    </xf>
    <xf numFmtId="0" fontId="22" fillId="2" borderId="48" xfId="2" applyFont="1" applyFill="1" applyBorder="1" applyAlignment="1">
      <alignment horizontal="center" vertical="center"/>
    </xf>
    <xf numFmtId="49" fontId="40" fillId="0" borderId="6" xfId="12" applyNumberFormat="1" applyFont="1" applyBorder="1" applyAlignment="1">
      <alignment horizontal="left" vertical="center"/>
    </xf>
    <xf numFmtId="49" fontId="40" fillId="0" borderId="6" xfId="12" applyNumberFormat="1" applyFont="1" applyBorder="1" applyAlignment="1">
      <alignment horizontal="left" vertical="center" wrapText="1"/>
    </xf>
    <xf numFmtId="0" fontId="22" fillId="2" borderId="54" xfId="0" applyFont="1" applyFill="1" applyBorder="1" applyAlignment="1">
      <alignment horizontal="left" vertical="center"/>
    </xf>
    <xf numFmtId="0" fontId="0" fillId="0" borderId="0" xfId="0"/>
    <xf numFmtId="3" fontId="50" fillId="16" borderId="103" xfId="28" applyNumberFormat="1" applyFont="1" applyFill="1" applyBorder="1" applyAlignment="1">
      <alignment vertical="center"/>
    </xf>
    <xf numFmtId="0" fontId="50" fillId="16" borderId="85" xfId="28" applyFont="1" applyFill="1" applyBorder="1" applyAlignment="1">
      <alignment horizontal="left" vertical="center"/>
    </xf>
    <xf numFmtId="0" fontId="60" fillId="16" borderId="85" xfId="28" applyFont="1" applyFill="1" applyBorder="1" applyAlignment="1">
      <alignment horizontal="left" vertical="center"/>
    </xf>
    <xf numFmtId="0" fontId="59" fillId="16" borderId="96" xfId="28" applyFont="1" applyFill="1" applyBorder="1" applyAlignment="1">
      <alignment horizontal="left" vertical="center" wrapText="1"/>
    </xf>
    <xf numFmtId="3" fontId="59" fillId="16" borderId="103" xfId="28" applyNumberFormat="1" applyFont="1" applyFill="1" applyBorder="1" applyAlignment="1">
      <alignment vertical="center"/>
    </xf>
    <xf numFmtId="4" fontId="35" fillId="0" borderId="0" xfId="0" applyNumberFormat="1" applyFont="1" applyAlignment="1">
      <alignment vertical="center"/>
    </xf>
    <xf numFmtId="0" fontId="60" fillId="16" borderId="85" xfId="28" applyFont="1" applyFill="1" applyBorder="1" applyAlignment="1">
      <alignment horizontal="left" vertical="center" wrapText="1"/>
    </xf>
    <xf numFmtId="0" fontId="57" fillId="16" borderId="79" xfId="28" applyFont="1" applyFill="1" applyBorder="1" applyAlignment="1">
      <alignment vertical="center"/>
    </xf>
    <xf numFmtId="0" fontId="60" fillId="16" borderId="96" xfId="28" applyFont="1" applyFill="1" applyBorder="1" applyAlignment="1">
      <alignment horizontal="left" vertical="center"/>
    </xf>
    <xf numFmtId="3" fontId="60" fillId="16" borderId="103" xfId="28" applyNumberFormat="1" applyFont="1" applyFill="1" applyBorder="1" applyAlignment="1">
      <alignment vertical="center"/>
    </xf>
    <xf numFmtId="0" fontId="50" fillId="0" borderId="79" xfId="11" applyFont="1" applyBorder="1" applyAlignment="1">
      <alignment vertical="center"/>
    </xf>
    <xf numFmtId="0" fontId="57" fillId="0" borderId="83" xfId="27" applyFont="1" applyFill="1" applyBorder="1" applyAlignment="1">
      <alignment vertical="center" wrapText="1"/>
    </xf>
    <xf numFmtId="0" fontId="57" fillId="0" borderId="79" xfId="27" applyFont="1" applyBorder="1" applyAlignment="1">
      <alignment vertical="center" wrapText="1"/>
    </xf>
    <xf numFmtId="3" fontId="57" fillId="16" borderId="79" xfId="27" applyNumberFormat="1" applyFont="1" applyFill="1" applyBorder="1" applyAlignment="1">
      <alignment vertical="center" wrapText="1"/>
    </xf>
    <xf numFmtId="0" fontId="6" fillId="0" borderId="5" xfId="11" applyFont="1" applyFill="1" applyBorder="1" applyAlignment="1">
      <alignment horizontal="center" vertical="center"/>
    </xf>
    <xf numFmtId="0" fontId="57" fillId="0" borderId="79" xfId="27" applyFont="1" applyFill="1" applyBorder="1" applyAlignment="1">
      <alignment vertical="center"/>
    </xf>
    <xf numFmtId="3" fontId="57" fillId="16" borderId="79" xfId="27" applyNumberFormat="1" applyFont="1" applyFill="1" applyBorder="1" applyAlignment="1">
      <alignment vertical="center"/>
    </xf>
    <xf numFmtId="0" fontId="8" fillId="0" borderId="0" xfId="0" applyFont="1" applyAlignment="1">
      <alignment horizontal="center" wrapText="1"/>
    </xf>
    <xf numFmtId="0" fontId="6" fillId="0" borderId="5" xfId="0" applyFont="1" applyFill="1" applyBorder="1"/>
    <xf numFmtId="0" fontId="13" fillId="0" borderId="0" xfId="0" applyFont="1" applyAlignment="1">
      <alignment horizontal="center"/>
    </xf>
    <xf numFmtId="0" fontId="6" fillId="0" borderId="9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15" fillId="0" borderId="5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21" fillId="2" borderId="40" xfId="0" applyFont="1" applyFill="1" applyBorder="1" applyAlignment="1">
      <alignment vertical="center"/>
    </xf>
    <xf numFmtId="0" fontId="11" fillId="5" borderId="9" xfId="0" applyFont="1" applyFill="1" applyBorder="1" applyAlignment="1">
      <alignment horizontal="left"/>
    </xf>
    <xf numFmtId="0" fontId="11" fillId="5" borderId="5" xfId="0" applyFont="1" applyFill="1" applyBorder="1" applyAlignment="1">
      <alignment horizontal="left"/>
    </xf>
    <xf numFmtId="3" fontId="15" fillId="0" borderId="5" xfId="0" applyNumberFormat="1" applyFont="1" applyFill="1" applyBorder="1" applyAlignment="1">
      <alignment horizontal="left" wrapText="1"/>
    </xf>
    <xf numFmtId="0" fontId="15" fillId="0" borderId="5" xfId="0" applyFont="1" applyFill="1" applyBorder="1" applyAlignment="1" applyProtection="1">
      <alignment horizontal="left"/>
      <protection locked="0"/>
    </xf>
    <xf numFmtId="0" fontId="15" fillId="0" borderId="34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0" borderId="69" xfId="0" applyFont="1" applyFill="1" applyBorder="1" applyAlignment="1">
      <alignment horizontal="left" wrapText="1"/>
    </xf>
    <xf numFmtId="0" fontId="15" fillId="0" borderId="64" xfId="0" applyFont="1" applyFill="1" applyBorder="1" applyAlignment="1">
      <alignment horizontal="left" wrapText="1"/>
    </xf>
    <xf numFmtId="0" fontId="15" fillId="0" borderId="38" xfId="0" applyFont="1" applyFill="1" applyBorder="1" applyAlignment="1">
      <alignment horizontal="left" wrapText="1"/>
    </xf>
    <xf numFmtId="0" fontId="10" fillId="2" borderId="17" xfId="0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10" fillId="2" borderId="4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/>
    </xf>
    <xf numFmtId="0" fontId="6" fillId="0" borderId="69" xfId="0" applyFont="1" applyFill="1" applyBorder="1" applyAlignment="1">
      <alignment horizontal="left" vertical="center" wrapText="1"/>
    </xf>
    <xf numFmtId="0" fontId="6" fillId="0" borderId="64" xfId="0" applyFont="1" applyFill="1" applyBorder="1" applyAlignment="1">
      <alignment horizontal="left" vertical="center" wrapText="1"/>
    </xf>
    <xf numFmtId="0" fontId="6" fillId="0" borderId="38" xfId="0" applyFont="1" applyFill="1" applyBorder="1" applyAlignment="1">
      <alignment horizontal="left" vertical="center" wrapText="1"/>
    </xf>
    <xf numFmtId="0" fontId="6" fillId="0" borderId="69" xfId="0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/>
    </xf>
    <xf numFmtId="0" fontId="13" fillId="0" borderId="0" xfId="2" applyFont="1" applyAlignment="1">
      <alignment horizontal="center"/>
    </xf>
    <xf numFmtId="0" fontId="22" fillId="25" borderId="6" xfId="2" applyFont="1" applyFill="1" applyBorder="1" applyAlignment="1">
      <alignment horizontal="center" vertical="center"/>
    </xf>
    <xf numFmtId="0" fontId="22" fillId="25" borderId="54" xfId="2" applyFont="1" applyFill="1" applyBorder="1" applyAlignment="1">
      <alignment horizontal="center" vertical="center"/>
    </xf>
    <xf numFmtId="0" fontId="58" fillId="26" borderId="2" xfId="2" applyFont="1" applyFill="1" applyBorder="1" applyAlignment="1">
      <alignment horizontal="center"/>
    </xf>
    <xf numFmtId="0" fontId="58" fillId="26" borderId="68" xfId="2" applyFont="1" applyFill="1" applyBorder="1" applyAlignment="1">
      <alignment horizontal="center"/>
    </xf>
    <xf numFmtId="0" fontId="22" fillId="25" borderId="1" xfId="2" applyFont="1" applyFill="1" applyBorder="1" applyAlignment="1">
      <alignment horizontal="left" vertical="center" wrapText="1"/>
    </xf>
    <xf numFmtId="0" fontId="22" fillId="25" borderId="5" xfId="2" applyFont="1" applyFill="1" applyBorder="1" applyAlignment="1">
      <alignment horizontal="left" vertical="center" wrapText="1"/>
    </xf>
    <xf numFmtId="0" fontId="22" fillId="25" borderId="53" xfId="2" applyFont="1" applyFill="1" applyBorder="1" applyAlignment="1">
      <alignment horizontal="left" vertical="center" wrapText="1"/>
    </xf>
    <xf numFmtId="0" fontId="22" fillId="25" borderId="2" xfId="2" applyFont="1" applyFill="1" applyBorder="1" applyAlignment="1">
      <alignment horizontal="center" vertical="center" wrapText="1"/>
    </xf>
    <xf numFmtId="0" fontId="22" fillId="25" borderId="6" xfId="2" applyFont="1" applyFill="1" applyBorder="1" applyAlignment="1">
      <alignment horizontal="center" vertical="center" wrapText="1"/>
    </xf>
    <xf numFmtId="0" fontId="22" fillId="25" borderId="54" xfId="2" applyFont="1" applyFill="1" applyBorder="1" applyAlignment="1">
      <alignment horizontal="center" vertical="center" wrapText="1"/>
    </xf>
    <xf numFmtId="0" fontId="22" fillId="25" borderId="25" xfId="2" applyFont="1" applyFill="1" applyBorder="1" applyAlignment="1">
      <alignment horizontal="center" vertical="center"/>
    </xf>
    <xf numFmtId="0" fontId="22" fillId="25" borderId="48" xfId="2" applyFont="1" applyFill="1" applyBorder="1" applyAlignment="1">
      <alignment horizontal="center" vertical="center"/>
    </xf>
    <xf numFmtId="0" fontId="22" fillId="2" borderId="32" xfId="2" applyFont="1" applyFill="1" applyBorder="1" applyAlignment="1">
      <alignment horizontal="center" vertical="center" wrapText="1"/>
    </xf>
    <xf numFmtId="0" fontId="22" fillId="2" borderId="111" xfId="2" applyFont="1" applyFill="1" applyBorder="1" applyAlignment="1">
      <alignment horizontal="center" vertical="center" wrapText="1"/>
    </xf>
    <xf numFmtId="0" fontId="22" fillId="2" borderId="42" xfId="2" applyFont="1" applyFill="1" applyBorder="1" applyAlignment="1">
      <alignment horizontal="center" vertical="center"/>
    </xf>
    <xf numFmtId="0" fontId="22" fillId="2" borderId="22" xfId="2" applyFont="1" applyFill="1" applyBorder="1" applyAlignment="1">
      <alignment horizontal="center" vertical="center"/>
    </xf>
    <xf numFmtId="0" fontId="22" fillId="2" borderId="112" xfId="2" applyFont="1" applyFill="1" applyBorder="1" applyAlignment="1">
      <alignment horizontal="center" vertical="center"/>
    </xf>
    <xf numFmtId="0" fontId="23" fillId="0" borderId="0" xfId="2" applyFont="1" applyAlignment="1">
      <alignment horizontal="center"/>
    </xf>
    <xf numFmtId="0" fontId="6" fillId="0" borderId="6" xfId="0" applyFont="1" applyFill="1" applyBorder="1" applyAlignment="1">
      <alignment horizontal="left" wrapText="1"/>
    </xf>
    <xf numFmtId="0" fontId="22" fillId="2" borderId="54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54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vertical="center"/>
    </xf>
    <xf numFmtId="0" fontId="6" fillId="0" borderId="6" xfId="0" applyFont="1" applyFill="1" applyBorder="1"/>
    <xf numFmtId="0" fontId="6" fillId="0" borderId="6" xfId="0" applyFont="1" applyFill="1" applyBorder="1" applyAlignment="1">
      <alignment horizontal="left"/>
    </xf>
    <xf numFmtId="0" fontId="6" fillId="0" borderId="54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vertical="center"/>
    </xf>
    <xf numFmtId="0" fontId="10" fillId="2" borderId="10" xfId="0" applyFont="1" applyFill="1" applyBorder="1"/>
    <xf numFmtId="0" fontId="14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0" fillId="0" borderId="0" xfId="0"/>
    <xf numFmtId="0" fontId="28" fillId="2" borderId="34" xfId="0" applyFont="1" applyFill="1" applyBorder="1" applyAlignment="1">
      <alignment vertical="center"/>
    </xf>
    <xf numFmtId="0" fontId="29" fillId="0" borderId="0" xfId="0" applyFont="1" applyAlignment="1">
      <alignment horizontal="center"/>
    </xf>
    <xf numFmtId="0" fontId="8" fillId="0" borderId="0" xfId="11" applyFont="1" applyFill="1" applyAlignment="1">
      <alignment horizontal="center" vertical="center" wrapText="1"/>
    </xf>
    <xf numFmtId="0" fontId="8" fillId="0" borderId="0" xfId="11" applyFont="1" applyAlignment="1">
      <alignment horizontal="center" vertical="center"/>
    </xf>
    <xf numFmtId="0" fontId="31" fillId="6" borderId="0" xfId="11" applyFont="1" applyFill="1" applyAlignment="1">
      <alignment horizontal="left" vertical="center"/>
    </xf>
    <xf numFmtId="3" fontId="2" fillId="0" borderId="0" xfId="28" applyNumberFormat="1" applyAlignment="1">
      <alignment horizontal="right"/>
    </xf>
    <xf numFmtId="0" fontId="2" fillId="0" borderId="0" xfId="28" applyAlignment="1"/>
    <xf numFmtId="0" fontId="33" fillId="0" borderId="0" xfId="28" applyFont="1" applyAlignment="1">
      <alignment horizontal="center"/>
    </xf>
    <xf numFmtId="0" fontId="39" fillId="0" borderId="0" xfId="0" applyFont="1" applyAlignment="1">
      <alignment horizontal="center"/>
    </xf>
    <xf numFmtId="0" fontId="21" fillId="2" borderId="35" xfId="0" applyFont="1" applyFill="1" applyBorder="1" applyAlignment="1">
      <alignment vertical="center"/>
    </xf>
    <xf numFmtId="0" fontId="39" fillId="0" borderId="0" xfId="12" applyFont="1" applyFill="1" applyAlignment="1">
      <alignment horizontal="center" vertical="center"/>
    </xf>
    <xf numFmtId="0" fontId="21" fillId="2" borderId="35" xfId="12" applyFont="1" applyFill="1" applyBorder="1" applyAlignment="1">
      <alignment horizontal="left" vertical="center"/>
    </xf>
    <xf numFmtId="0" fontId="39" fillId="0" borderId="0" xfId="12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wrapText="1"/>
    </xf>
    <xf numFmtId="0" fontId="48" fillId="0" borderId="79" xfId="0" applyFont="1" applyFill="1" applyBorder="1" applyAlignment="1">
      <alignment horizontal="left" vertical="center" wrapText="1"/>
    </xf>
    <xf numFmtId="4" fontId="48" fillId="0" borderId="79" xfId="0" applyNumberFormat="1" applyFont="1" applyFill="1" applyBorder="1" applyAlignment="1">
      <alignment horizontal="right" vertical="center"/>
    </xf>
    <xf numFmtId="4" fontId="48" fillId="0" borderId="79" xfId="0" applyNumberFormat="1" applyFont="1" applyFill="1" applyBorder="1" applyAlignment="1">
      <alignment horizontal="right" vertical="center" wrapText="1"/>
    </xf>
    <xf numFmtId="0" fontId="48" fillId="0" borderId="79" xfId="0" applyFont="1" applyFill="1" applyBorder="1" applyAlignment="1">
      <alignment horizontal="left" vertical="center"/>
    </xf>
    <xf numFmtId="49" fontId="48" fillId="0" borderId="79" xfId="0" applyNumberFormat="1" applyFont="1" applyFill="1" applyBorder="1" applyAlignment="1">
      <alignment horizontal="center" vertical="center"/>
    </xf>
    <xf numFmtId="4" fontId="48" fillId="0" borderId="79" xfId="0" applyNumberFormat="1" applyFont="1" applyFill="1" applyBorder="1" applyAlignment="1">
      <alignment horizontal="center" vertical="center"/>
    </xf>
    <xf numFmtId="0" fontId="48" fillId="0" borderId="79" xfId="0" applyFont="1" applyFill="1" applyBorder="1" applyAlignment="1">
      <alignment horizontal="center" vertical="center" wrapText="1"/>
    </xf>
    <xf numFmtId="0" fontId="52" fillId="24" borderId="79" xfId="0" applyFont="1" applyFill="1" applyBorder="1" applyAlignment="1">
      <alignment horizontal="center" vertical="center"/>
    </xf>
    <xf numFmtId="4" fontId="52" fillId="24" borderId="79" xfId="0" applyNumberFormat="1" applyFont="1" applyFill="1" applyBorder="1" applyAlignment="1">
      <alignment horizontal="center" vertical="center" wrapText="1"/>
    </xf>
    <xf numFmtId="4" fontId="52" fillId="24" borderId="79" xfId="0" applyNumberFormat="1" applyFont="1" applyFill="1" applyBorder="1" applyAlignment="1">
      <alignment horizontal="center" vertical="center"/>
    </xf>
    <xf numFmtId="14" fontId="52" fillId="24" borderId="79" xfId="0" applyNumberFormat="1" applyFont="1" applyFill="1" applyBorder="1" applyAlignment="1">
      <alignment horizontal="center" vertical="center" wrapText="1"/>
    </xf>
    <xf numFmtId="14" fontId="48" fillId="0" borderId="79" xfId="0" applyNumberFormat="1" applyFont="1" applyFill="1" applyBorder="1" applyAlignment="1">
      <alignment horizontal="center" vertical="center"/>
    </xf>
    <xf numFmtId="4" fontId="48" fillId="0" borderId="79" xfId="0" applyNumberFormat="1" applyFont="1" applyFill="1" applyBorder="1" applyAlignment="1">
      <alignment vertical="center"/>
    </xf>
    <xf numFmtId="0" fontId="52" fillId="24" borderId="80" xfId="0" applyFont="1" applyFill="1" applyBorder="1" applyAlignment="1">
      <alignment horizontal="center"/>
    </xf>
    <xf numFmtId="0" fontId="52" fillId="24" borderId="110" xfId="0" applyFont="1" applyFill="1" applyBorder="1" applyAlignment="1">
      <alignment horizontal="center"/>
    </xf>
    <xf numFmtId="0" fontId="52" fillId="24" borderId="83" xfId="0" applyFont="1" applyFill="1" applyBorder="1" applyAlignment="1">
      <alignment horizontal="center"/>
    </xf>
    <xf numFmtId="0" fontId="52" fillId="24" borderId="79" xfId="0" applyFont="1" applyFill="1" applyBorder="1" applyAlignment="1">
      <alignment horizontal="center"/>
    </xf>
    <xf numFmtId="4" fontId="48" fillId="0" borderId="79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wrapText="1"/>
    </xf>
    <xf numFmtId="0" fontId="35" fillId="0" borderId="0" xfId="0" applyFont="1" applyAlignment="1">
      <alignment horizontal="left"/>
    </xf>
    <xf numFmtId="0" fontId="14" fillId="3" borderId="6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1" fillId="2" borderId="53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0" fontId="14" fillId="3" borderId="6" xfId="0" applyFont="1" applyFill="1" applyBorder="1" applyAlignment="1">
      <alignment vertical="top" wrapText="1"/>
    </xf>
    <xf numFmtId="0" fontId="14" fillId="3" borderId="10" xfId="0" applyFont="1" applyFill="1" applyBorder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0" fillId="2" borderId="1" xfId="0" applyFill="1" applyBorder="1"/>
    <xf numFmtId="0" fontId="0" fillId="2" borderId="40" xfId="0" applyFill="1" applyBorder="1"/>
    <xf numFmtId="0" fontId="18" fillId="2" borderId="57" xfId="2" applyFont="1" applyFill="1" applyBorder="1" applyAlignment="1">
      <alignment horizontal="center" vertical="center" wrapText="1"/>
    </xf>
    <xf numFmtId="0" fontId="22" fillId="2" borderId="58" xfId="2" applyFont="1" applyFill="1" applyBorder="1" applyAlignment="1">
      <alignment horizontal="center" vertical="center" wrapText="1"/>
    </xf>
    <xf numFmtId="0" fontId="1" fillId="0" borderId="0" xfId="29"/>
    <xf numFmtId="0" fontId="11" fillId="0" borderId="67" xfId="29" applyFont="1" applyBorder="1" applyAlignment="1">
      <alignment horizontal="right"/>
    </xf>
    <xf numFmtId="0" fontId="51" fillId="18" borderId="76" xfId="29" applyFont="1" applyFill="1" applyBorder="1" applyAlignment="1">
      <alignment horizontal="center"/>
    </xf>
    <xf numFmtId="0" fontId="1" fillId="0" borderId="77" xfId="29" applyBorder="1"/>
    <xf numFmtId="0" fontId="6" fillId="0" borderId="0" xfId="29" applyFont="1" applyAlignment="1">
      <alignment wrapText="1"/>
    </xf>
    <xf numFmtId="0" fontId="53" fillId="0" borderId="0" xfId="29" applyFont="1"/>
    <xf numFmtId="0" fontId="50" fillId="11" borderId="0" xfId="29" applyFont="1" applyFill="1" applyAlignment="1">
      <alignment horizontal="left"/>
    </xf>
    <xf numFmtId="0" fontId="56" fillId="11" borderId="0" xfId="29" applyFont="1" applyFill="1" applyAlignment="1">
      <alignment horizontal="left"/>
    </xf>
    <xf numFmtId="0" fontId="50" fillId="0" borderId="0" xfId="29" applyFont="1"/>
    <xf numFmtId="0" fontId="50" fillId="0" borderId="0" xfId="29" applyFont="1" applyAlignment="1">
      <alignment horizontal="left"/>
    </xf>
    <xf numFmtId="0" fontId="46" fillId="0" borderId="76" xfId="0" applyFont="1" applyFill="1" applyBorder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6" fillId="2" borderId="54" xfId="0" applyFont="1" applyFill="1" applyBorder="1" applyAlignment="1">
      <alignment horizontal="center" vertical="center" wrapText="1"/>
    </xf>
    <xf numFmtId="0" fontId="6" fillId="0" borderId="113" xfId="11" applyFont="1" applyBorder="1" applyAlignment="1">
      <alignment horizontal="center" vertical="center"/>
    </xf>
    <xf numFmtId="0" fontId="6" fillId="0" borderId="115" xfId="11" applyFont="1" applyBorder="1" applyAlignment="1">
      <alignment horizontal="center" vertical="center"/>
    </xf>
    <xf numFmtId="3" fontId="6" fillId="0" borderId="108" xfId="11" applyNumberFormat="1" applyFont="1" applyBorder="1" applyAlignment="1">
      <alignment vertical="center"/>
    </xf>
    <xf numFmtId="0" fontId="21" fillId="2" borderId="116" xfId="11" applyFont="1" applyFill="1" applyBorder="1" applyAlignment="1">
      <alignment horizontal="left" vertical="center"/>
    </xf>
    <xf numFmtId="3" fontId="21" fillId="2" borderId="117" xfId="11" applyNumberFormat="1" applyFont="1" applyFill="1" applyBorder="1" applyAlignment="1">
      <alignment horizontal="right" vertical="center"/>
    </xf>
    <xf numFmtId="3" fontId="6" fillId="0" borderId="114" xfId="11" applyNumberFormat="1" applyFont="1" applyBorder="1" applyAlignment="1">
      <alignment vertical="center"/>
    </xf>
    <xf numFmtId="0" fontId="6" fillId="0" borderId="79" xfId="11" applyFont="1" applyBorder="1" applyAlignment="1">
      <alignment vertical="center" wrapText="1"/>
    </xf>
    <xf numFmtId="0" fontId="6" fillId="0" borderId="95" xfId="11" applyFont="1" applyBorder="1" applyAlignment="1">
      <alignment horizontal="left" vertical="center" wrapText="1"/>
    </xf>
    <xf numFmtId="0" fontId="57" fillId="0" borderId="79" xfId="27" applyFont="1" applyFill="1" applyBorder="1" applyAlignment="1">
      <alignment vertical="center" wrapText="1"/>
    </xf>
    <xf numFmtId="0" fontId="57" fillId="0" borderId="83" xfId="27" applyFont="1" applyBorder="1" applyAlignment="1">
      <alignment vertical="center"/>
    </xf>
    <xf numFmtId="0" fontId="57" fillId="0" borderId="83" xfId="27" applyFont="1" applyFill="1" applyBorder="1" applyAlignment="1">
      <alignment vertical="center"/>
    </xf>
    <xf numFmtId="0" fontId="57" fillId="0" borderId="79" xfId="27" applyFont="1" applyBorder="1" applyAlignment="1">
      <alignment vertical="center"/>
    </xf>
    <xf numFmtId="0" fontId="57" fillId="0" borderId="86" xfId="27" applyFont="1" applyFill="1" applyBorder="1" applyAlignment="1">
      <alignment vertical="center"/>
    </xf>
    <xf numFmtId="0" fontId="57" fillId="0" borderId="87" xfId="27" applyFont="1" applyFill="1" applyBorder="1" applyAlignment="1">
      <alignment vertical="center"/>
    </xf>
    <xf numFmtId="3" fontId="57" fillId="16" borderId="87" xfId="27" applyNumberFormat="1" applyFont="1" applyFill="1" applyBorder="1" applyAlignment="1">
      <alignment vertical="center" wrapText="1"/>
    </xf>
    <xf numFmtId="0" fontId="57" fillId="0" borderId="84" xfId="27" applyFont="1" applyFill="1" applyBorder="1" applyAlignment="1">
      <alignment vertical="center"/>
    </xf>
    <xf numFmtId="0" fontId="57" fillId="0" borderId="85" xfId="27" applyFont="1" applyBorder="1" applyAlignment="1">
      <alignment vertical="center" wrapText="1"/>
    </xf>
    <xf numFmtId="3" fontId="57" fillId="16" borderId="85" xfId="27" applyNumberFormat="1" applyFont="1" applyFill="1" applyBorder="1" applyAlignment="1">
      <alignment vertical="center"/>
    </xf>
  </cellXfs>
  <cellStyles count="30">
    <cellStyle name="Excel Built-in Normal" xfId="1" xr:uid="{00000000-0005-0000-0000-000000000000}"/>
    <cellStyle name="Excel Built-in Normal 1" xfId="2" xr:uid="{00000000-0005-0000-0000-000001000000}"/>
    <cellStyle name="Normálna" xfId="0" builtinId="0" customBuiltin="1"/>
    <cellStyle name="Normálna 10" xfId="3" xr:uid="{00000000-0005-0000-0000-000002000000}"/>
    <cellStyle name="Normálna 11" xfId="26" xr:uid="{00000000-0005-0000-0000-000003000000}"/>
    <cellStyle name="Normálna 12" xfId="27" xr:uid="{00000000-0005-0000-0000-000004000000}"/>
    <cellStyle name="Normálna 13" xfId="28" xr:uid="{00000000-0005-0000-0000-000005000000}"/>
    <cellStyle name="Normálna 14" xfId="29" xr:uid="{00000000-0005-0000-0000-000006000000}"/>
    <cellStyle name="Normálna 2" xfId="4" xr:uid="{00000000-0005-0000-0000-000007000000}"/>
    <cellStyle name="Normálna 3" xfId="5" xr:uid="{00000000-0005-0000-0000-000008000000}"/>
    <cellStyle name="Normálna 3 2" xfId="6" xr:uid="{00000000-0005-0000-0000-000009000000}"/>
    <cellStyle name="Normálna 3 3" xfId="7" xr:uid="{00000000-0005-0000-0000-00000A000000}"/>
    <cellStyle name="Normálna 4" xfId="8" xr:uid="{00000000-0005-0000-0000-00000B000000}"/>
    <cellStyle name="Normálna 5" xfId="9" xr:uid="{00000000-0005-0000-0000-00000C000000}"/>
    <cellStyle name="Normálna 6" xfId="10" xr:uid="{00000000-0005-0000-0000-00000D000000}"/>
    <cellStyle name="Normálna 7" xfId="11" xr:uid="{00000000-0005-0000-0000-00000E000000}"/>
    <cellStyle name="Normálna 8" xfId="12" xr:uid="{00000000-0005-0000-0000-00000F000000}"/>
    <cellStyle name="Normálna 9" xfId="13" xr:uid="{00000000-0005-0000-0000-000010000000}"/>
    <cellStyle name="normálne 2" xfId="14" xr:uid="{00000000-0005-0000-0000-000012000000}"/>
    <cellStyle name="normálne 2 2" xfId="15" xr:uid="{00000000-0005-0000-0000-000013000000}"/>
    <cellStyle name="normálne 2 2 2" xfId="16" xr:uid="{00000000-0005-0000-0000-000014000000}"/>
    <cellStyle name="normálne 2 2 2 2" xfId="17" xr:uid="{00000000-0005-0000-0000-000015000000}"/>
    <cellStyle name="normálne 2 2 2 3" xfId="18" xr:uid="{00000000-0005-0000-0000-000016000000}"/>
    <cellStyle name="normálne 2 2 3" xfId="19" xr:uid="{00000000-0005-0000-0000-000017000000}"/>
    <cellStyle name="normálne 2 2 4" xfId="20" xr:uid="{00000000-0005-0000-0000-000018000000}"/>
    <cellStyle name="normálne 2 3" xfId="21" xr:uid="{00000000-0005-0000-0000-000019000000}"/>
    <cellStyle name="normálne 2 4" xfId="22" xr:uid="{00000000-0005-0000-0000-00001A000000}"/>
    <cellStyle name="normálne 3" xfId="23" xr:uid="{00000000-0005-0000-0000-00001B000000}"/>
    <cellStyle name="normálne 3 2" xfId="24" xr:uid="{00000000-0005-0000-0000-00001C000000}"/>
    <cellStyle name="normálne 3 3" xfId="25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sk-SK" sz="1800" b="1" i="0" u="none" strike="noStrike" kern="1200" baseline="0">
                <a:solidFill>
                  <a:srgbClr val="404040"/>
                </a:solidFill>
                <a:latin typeface="Calibri"/>
                <a:ea typeface="+mn-ea"/>
                <a:cs typeface="+mn-cs"/>
              </a:defRPr>
            </a:pPr>
            <a:r>
              <a:rPr lang="sk-SK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Vývoj dlhovej služby Mesta Trenčín  </a:t>
            </a:r>
            <a:br>
              <a:rPr lang="sk-SK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</a:br>
            <a:r>
              <a:rPr lang="sk-SK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v  rokoch 2013 - 2019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sk-SK" sz="1800" b="1" i="0" u="none" strike="noStrike" kern="1200" baseline="0">
              <a:solidFill>
                <a:srgbClr val="404040"/>
              </a:solidFill>
              <a:latin typeface="Calibri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Vývoj_dlhovej_služby!$C$8:$I$8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Vývoj_dlhovej_služby!$C$8:$I$8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8-4F0F-A770-B95BA1990119}"/>
            </c:ext>
          </c:extLst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Vývoj_dlhovej_služby!$C$8:$I$8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Vývoj_dlhovej_služby!$C$11:$I$11</c:f>
              <c:numCache>
                <c:formatCode>#,##0</c:formatCode>
                <c:ptCount val="7"/>
                <c:pt idx="0">
                  <c:v>9293</c:v>
                </c:pt>
                <c:pt idx="1">
                  <c:v>16598</c:v>
                </c:pt>
                <c:pt idx="2">
                  <c:v>14037</c:v>
                </c:pt>
                <c:pt idx="3">
                  <c:v>12053</c:v>
                </c:pt>
                <c:pt idx="4">
                  <c:v>12394</c:v>
                </c:pt>
                <c:pt idx="5">
                  <c:v>13381</c:v>
                </c:pt>
                <c:pt idx="6">
                  <c:v>12837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0-4A0B-AC86-DE366BF7E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939008"/>
        <c:axId val="94937472"/>
      </c:areaChart>
      <c:valAx>
        <c:axId val="9493747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BFBFBF">
                  <a:alpha val="36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sk-SK" sz="900" b="0" i="0" u="none" strike="noStrike" kern="1200" baseline="0">
                <a:solidFill>
                  <a:srgbClr val="404040"/>
                </a:solidFill>
                <a:latin typeface="Calibri"/>
                <a:ea typeface="+mn-ea"/>
                <a:cs typeface="+mn-cs"/>
              </a:defRPr>
            </a:pPr>
            <a:endParaRPr lang="sk-SK"/>
          </a:p>
        </c:txPr>
        <c:crossAx val="94939008"/>
        <c:crosses val="autoZero"/>
        <c:crossBetween val="midCat"/>
      </c:valAx>
      <c:catAx>
        <c:axId val="9493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46" cap="flat" cmpd="sng" algn="ctr">
            <a:solidFill>
              <a:srgbClr val="404040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sk-SK" sz="900" b="0" i="0" u="none" strike="noStrike" kern="1200" cap="all" baseline="0">
                <a:solidFill>
                  <a:srgbClr val="404040"/>
                </a:solidFill>
                <a:latin typeface="Calibri"/>
                <a:ea typeface="+mn-ea"/>
                <a:cs typeface="+mn-cs"/>
              </a:defRPr>
            </a:pPr>
            <a:endParaRPr lang="sk-SK"/>
          </a:p>
        </c:txPr>
        <c:crossAx val="94937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FFFF"/>
        </a:gs>
        <a:gs pos="100000">
          <a:srgbClr val="FFFFFF"/>
        </a:gs>
      </a:gsLst>
      <a:path path="circle">
        <a:fillToRect l="50000" t="-80000" r="50000" b="180000"/>
      </a:path>
    </a:gradFill>
    <a:ln w="9528" cap="flat" cmpd="sng" algn="ctr">
      <a:solidFill>
        <a:srgbClr val="BFBFBF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sk-SK" sz="900" b="0" i="0" u="none" strike="noStrike" kern="1200" baseline="0">
          <a:solidFill>
            <a:srgbClr val="000000"/>
          </a:solidFill>
          <a:latin typeface="Calibri"/>
        </a:defRPr>
      </a:pPr>
      <a:endParaRPr lang="sk-SK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302922</xdr:colOff>
      <xdr:row>27</xdr:row>
      <xdr:rowOff>2670</xdr:rowOff>
    </xdr:from>
    <xdr:ext cx="184727" cy="937625"/>
    <xdr:sp macro="" textlink="">
      <xdr:nvSpPr>
        <xdr:cNvPr id="3" name="Obdĺžnik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285372" y="20219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46</xdr:row>
      <xdr:rowOff>0</xdr:rowOff>
    </xdr:from>
    <xdr:ext cx="184727" cy="937625"/>
    <xdr:sp macro="" textlink="">
      <xdr:nvSpPr>
        <xdr:cNvPr id="7" name="Obdĺžnik 2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12285372" y="569595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24</xdr:row>
      <xdr:rowOff>250326</xdr:rowOff>
    </xdr:from>
    <xdr:ext cx="184727" cy="937625"/>
    <xdr:sp macro="" textlink="">
      <xdr:nvSpPr>
        <xdr:cNvPr id="2" name="Obdĺžnik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2285372" y="1517151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45</xdr:row>
      <xdr:rowOff>0</xdr:rowOff>
    </xdr:from>
    <xdr:ext cx="184727" cy="937625"/>
    <xdr:sp macro="" textlink="">
      <xdr:nvSpPr>
        <xdr:cNvPr id="6" name="Obdĺžnik 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2285372" y="550545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33</xdr:row>
      <xdr:rowOff>2670</xdr:rowOff>
    </xdr:from>
    <xdr:ext cx="184727" cy="937625"/>
    <xdr:sp macro="" textlink="">
      <xdr:nvSpPr>
        <xdr:cNvPr id="5" name="Obdĺžnik 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2285372" y="310782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44</xdr:row>
      <xdr:rowOff>0</xdr:rowOff>
    </xdr:from>
    <xdr:ext cx="184727" cy="937625"/>
    <xdr:sp macro="" textlink="">
      <xdr:nvSpPr>
        <xdr:cNvPr id="9" name="Obdĺžnik 6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4036722" y="104775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31</xdr:row>
      <xdr:rowOff>2670</xdr:rowOff>
    </xdr:from>
    <xdr:ext cx="184727" cy="937625"/>
    <xdr:sp macro="" textlink="">
      <xdr:nvSpPr>
        <xdr:cNvPr id="4" name="Obdĺžnik 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285372" y="27458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43</xdr:row>
      <xdr:rowOff>0</xdr:rowOff>
    </xdr:from>
    <xdr:ext cx="184727" cy="937625"/>
    <xdr:sp macro="" textlink="">
      <xdr:nvSpPr>
        <xdr:cNvPr id="8" name="Obdĺžnik 8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4036722" y="10287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24</xdr:row>
      <xdr:rowOff>95253</xdr:rowOff>
    </xdr:from>
    <xdr:ext cx="5648325" cy="2928932"/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3:L24"/>
  <sheetViews>
    <sheetView tabSelected="1" workbookViewId="0">
      <selection activeCell="B1" sqref="B1"/>
    </sheetView>
  </sheetViews>
  <sheetFormatPr defaultRowHeight="14.25" x14ac:dyDescent="0.2"/>
  <cols>
    <col min="1" max="1" width="1.85546875" style="1" customWidth="1"/>
    <col min="2" max="2" width="5.140625" style="1" customWidth="1"/>
    <col min="3" max="3" width="37.42578125" style="1" customWidth="1"/>
    <col min="4" max="4" width="13.140625" style="1" customWidth="1"/>
    <col min="5" max="5" width="11.28515625" style="1" customWidth="1"/>
    <col min="6" max="6" width="9.5703125" style="1" bestFit="1" customWidth="1"/>
    <col min="7" max="7" width="11.7109375" style="1" customWidth="1"/>
    <col min="8" max="9" width="11.85546875" style="1" customWidth="1"/>
    <col min="10" max="10" width="10.7109375" style="1" customWidth="1"/>
    <col min="11" max="11" width="10.28515625" style="1" customWidth="1"/>
    <col min="12" max="12" width="14" style="1" customWidth="1"/>
    <col min="13" max="13" width="9.140625" style="1" customWidth="1"/>
    <col min="14" max="16384" width="9.140625" style="1"/>
  </cols>
  <sheetData>
    <row r="3" spans="2:12" ht="18.75" customHeight="1" x14ac:dyDescent="0.25">
      <c r="C3" s="769" t="s">
        <v>1021</v>
      </c>
      <c r="D3" s="769"/>
      <c r="E3" s="769"/>
      <c r="F3" s="769"/>
      <c r="G3" s="769"/>
      <c r="H3" s="769"/>
      <c r="I3" s="769"/>
      <c r="J3" s="769"/>
      <c r="K3" s="769"/>
    </row>
    <row r="4" spans="2:12" ht="15" thickBot="1" x14ac:dyDescent="0.25"/>
    <row r="5" spans="2:12" ht="45" x14ac:dyDescent="0.2">
      <c r="B5" s="2"/>
      <c r="C5" s="3" t="s">
        <v>0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5" t="s">
        <v>8</v>
      </c>
      <c r="L5" s="6" t="s">
        <v>9</v>
      </c>
    </row>
    <row r="6" spans="2:12" ht="15" x14ac:dyDescent="0.25">
      <c r="B6" s="7" t="s">
        <v>10</v>
      </c>
      <c r="C6" s="8" t="s">
        <v>11</v>
      </c>
      <c r="D6" s="9">
        <v>232830.58</v>
      </c>
      <c r="E6" s="9">
        <v>14178.7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10">
        <v>0</v>
      </c>
      <c r="L6" s="11">
        <f t="shared" ref="L6:L24" si="0">D6+E6+F6+G6+H6+I6+J6+K6</f>
        <v>247009.28</v>
      </c>
    </row>
    <row r="7" spans="2:12" ht="15" x14ac:dyDescent="0.25">
      <c r="B7" s="7" t="s">
        <v>12</v>
      </c>
      <c r="C7" s="8" t="s">
        <v>13</v>
      </c>
      <c r="D7" s="9">
        <v>151740943.16999999</v>
      </c>
      <c r="E7" s="9">
        <v>62291041.450000003</v>
      </c>
      <c r="F7" s="9">
        <v>456038.61</v>
      </c>
      <c r="G7" s="9">
        <v>3602656.94</v>
      </c>
      <c r="H7" s="9">
        <v>1508341.44</v>
      </c>
      <c r="I7" s="9">
        <v>9906151.6500000004</v>
      </c>
      <c r="J7" s="9">
        <v>7290.6</v>
      </c>
      <c r="K7" s="10">
        <v>416932.03</v>
      </c>
      <c r="L7" s="11">
        <f t="shared" si="0"/>
        <v>229929395.89000002</v>
      </c>
    </row>
    <row r="8" spans="2:12" ht="15" x14ac:dyDescent="0.25">
      <c r="B8" s="7" t="s">
        <v>14</v>
      </c>
      <c r="C8" s="8" t="s">
        <v>15</v>
      </c>
      <c r="D8" s="9">
        <v>16091773.390000001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10">
        <v>0</v>
      </c>
      <c r="L8" s="11">
        <f t="shared" si="0"/>
        <v>16091773.390000001</v>
      </c>
    </row>
    <row r="9" spans="2:12" ht="15" x14ac:dyDescent="0.25">
      <c r="B9" s="7" t="s">
        <v>16</v>
      </c>
      <c r="C9" s="8" t="s">
        <v>17</v>
      </c>
      <c r="D9" s="9">
        <v>22074.18</v>
      </c>
      <c r="E9" s="9">
        <v>30609.11</v>
      </c>
      <c r="F9" s="9">
        <v>7243.03</v>
      </c>
      <c r="G9" s="9">
        <v>10118.66</v>
      </c>
      <c r="H9" s="9">
        <v>0</v>
      </c>
      <c r="I9" s="9">
        <v>22683.24</v>
      </c>
      <c r="J9" s="9">
        <v>0</v>
      </c>
      <c r="K9" s="10">
        <v>0</v>
      </c>
      <c r="L9" s="11">
        <f t="shared" si="0"/>
        <v>92728.22</v>
      </c>
    </row>
    <row r="10" spans="2:12" ht="15" x14ac:dyDescent="0.25">
      <c r="B10" s="7" t="s">
        <v>18</v>
      </c>
      <c r="C10" s="8" t="s">
        <v>19</v>
      </c>
      <c r="D10" s="9">
        <v>78254553.680000007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0">
        <v>0</v>
      </c>
      <c r="L10" s="11">
        <f t="shared" si="0"/>
        <v>78254553.680000007</v>
      </c>
    </row>
    <row r="11" spans="2:12" ht="15" x14ac:dyDescent="0.25">
      <c r="B11" s="7" t="s">
        <v>20</v>
      </c>
      <c r="C11" s="8" t="s">
        <v>21</v>
      </c>
      <c r="D11" s="9">
        <f>464938.73+574569.13</f>
        <v>1039507.86</v>
      </c>
      <c r="E11" s="9">
        <f>615.55+38381.67</f>
        <v>38997.22</v>
      </c>
      <c r="F11" s="9">
        <v>81843.539999999994</v>
      </c>
      <c r="G11" s="9">
        <v>2358.35</v>
      </c>
      <c r="H11" s="9">
        <v>0</v>
      </c>
      <c r="I11" s="9">
        <v>4194.1899999999996</v>
      </c>
      <c r="J11" s="9">
        <v>145.5</v>
      </c>
      <c r="K11" s="10">
        <v>0</v>
      </c>
      <c r="L11" s="11">
        <f t="shared" si="0"/>
        <v>1167046.6600000001</v>
      </c>
    </row>
    <row r="12" spans="2:12" ht="15" x14ac:dyDescent="0.25">
      <c r="B12" s="7" t="s">
        <v>22</v>
      </c>
      <c r="C12" s="8" t="s">
        <v>23</v>
      </c>
      <c r="D12" s="9">
        <v>7151821.3300000001</v>
      </c>
      <c r="E12" s="9">
        <v>11866.42</v>
      </c>
      <c r="F12" s="9">
        <v>7060.26</v>
      </c>
      <c r="G12" s="9">
        <v>443.25</v>
      </c>
      <c r="H12" s="9">
        <v>1720.92</v>
      </c>
      <c r="I12" s="9">
        <v>720663.18</v>
      </c>
      <c r="J12" s="9">
        <v>4016.49</v>
      </c>
      <c r="K12" s="10">
        <v>5582.92</v>
      </c>
      <c r="L12" s="11">
        <f t="shared" si="0"/>
        <v>7903174.7699999996</v>
      </c>
    </row>
    <row r="13" spans="2:12" ht="15.75" thickBot="1" x14ac:dyDescent="0.3">
      <c r="B13" s="7" t="s">
        <v>24</v>
      </c>
      <c r="C13" s="8" t="s">
        <v>25</v>
      </c>
      <c r="D13" s="9">
        <v>8514.33</v>
      </c>
      <c r="E13" s="9">
        <v>3464.85</v>
      </c>
      <c r="F13" s="9">
        <v>7359.49</v>
      </c>
      <c r="G13" s="9">
        <v>30740.06</v>
      </c>
      <c r="H13" s="9">
        <v>6802</v>
      </c>
      <c r="I13" s="9">
        <v>9735</v>
      </c>
      <c r="J13" s="9">
        <v>447.28</v>
      </c>
      <c r="K13" s="10">
        <v>843.95</v>
      </c>
      <c r="L13" s="11">
        <f t="shared" si="0"/>
        <v>67906.959999999992</v>
      </c>
    </row>
    <row r="14" spans="2:12" customFormat="1" ht="15.75" thickTop="1" x14ac:dyDescent="0.25">
      <c r="B14" s="12"/>
      <c r="C14" s="13" t="s">
        <v>26</v>
      </c>
      <c r="D14" s="14">
        <f t="shared" ref="D14:K14" si="1">SUM(D6:D13)</f>
        <v>254542018.52000004</v>
      </c>
      <c r="E14" s="14">
        <f t="shared" si="1"/>
        <v>62390157.750000007</v>
      </c>
      <c r="F14" s="14">
        <f t="shared" si="1"/>
        <v>559544.93000000005</v>
      </c>
      <c r="G14" s="14">
        <f t="shared" si="1"/>
        <v>3646317.2600000002</v>
      </c>
      <c r="H14" s="14">
        <f t="shared" si="1"/>
        <v>1516864.3599999999</v>
      </c>
      <c r="I14" s="14">
        <f t="shared" si="1"/>
        <v>10663427.26</v>
      </c>
      <c r="J14" s="14">
        <f t="shared" si="1"/>
        <v>11899.87</v>
      </c>
      <c r="K14" s="15">
        <f t="shared" si="1"/>
        <v>423358.9</v>
      </c>
      <c r="L14" s="16">
        <f t="shared" si="0"/>
        <v>333753588.85000002</v>
      </c>
    </row>
    <row r="15" spans="2:12" customFormat="1" ht="15" x14ac:dyDescent="0.25">
      <c r="B15" s="7" t="s">
        <v>27</v>
      </c>
      <c r="C15" s="8" t="s">
        <v>28</v>
      </c>
      <c r="D15" s="9">
        <v>-1459420.72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10">
        <v>0</v>
      </c>
      <c r="L15" s="11">
        <f t="shared" si="0"/>
        <v>-1459420.72</v>
      </c>
    </row>
    <row r="16" spans="2:12" customFormat="1" ht="15" x14ac:dyDescent="0.25">
      <c r="B16" s="7" t="s">
        <v>29</v>
      </c>
      <c r="C16" s="8" t="s">
        <v>30</v>
      </c>
      <c r="D16" s="9">
        <v>180119609.56</v>
      </c>
      <c r="E16" s="9">
        <v>-140560.75</v>
      </c>
      <c r="F16" s="9">
        <v>-221625.26</v>
      </c>
      <c r="G16" s="9">
        <v>-382003.33</v>
      </c>
      <c r="H16" s="9">
        <v>-26661.9</v>
      </c>
      <c r="I16" s="9">
        <v>-262647.55</v>
      </c>
      <c r="J16" s="9">
        <v>-9871.6</v>
      </c>
      <c r="K16" s="10">
        <v>-77615.41</v>
      </c>
      <c r="L16" s="11">
        <f t="shared" si="0"/>
        <v>178998623.75999999</v>
      </c>
    </row>
    <row r="17" spans="2:12" customFormat="1" ht="15" x14ac:dyDescent="0.25">
      <c r="B17" s="7" t="s">
        <v>31</v>
      </c>
      <c r="C17" s="8" t="s">
        <v>32</v>
      </c>
      <c r="D17" s="9">
        <v>367766.44</v>
      </c>
      <c r="E17" s="9">
        <v>0</v>
      </c>
      <c r="F17" s="9">
        <v>11912.27</v>
      </c>
      <c r="G17" s="9">
        <v>67814</v>
      </c>
      <c r="H17" s="9">
        <v>0</v>
      </c>
      <c r="I17" s="9">
        <v>21302.48</v>
      </c>
      <c r="J17" s="9">
        <v>219.08</v>
      </c>
      <c r="K17" s="10">
        <v>2000</v>
      </c>
      <c r="L17" s="11">
        <f t="shared" si="0"/>
        <v>471014.27</v>
      </c>
    </row>
    <row r="18" spans="2:12" customFormat="1" ht="15" x14ac:dyDescent="0.25">
      <c r="B18" s="7" t="s">
        <v>33</v>
      </c>
      <c r="C18" s="8" t="s">
        <v>19</v>
      </c>
      <c r="D18" s="9">
        <v>222780.59</v>
      </c>
      <c r="E18" s="9">
        <v>62344217.369999997</v>
      </c>
      <c r="F18" s="9">
        <v>509424.65</v>
      </c>
      <c r="G18" s="9">
        <v>3602656.94</v>
      </c>
      <c r="H18" s="9">
        <v>1508341.44</v>
      </c>
      <c r="I18" s="9">
        <v>9871033.6300000008</v>
      </c>
      <c r="J18" s="9">
        <v>7290.6</v>
      </c>
      <c r="K18" s="10">
        <v>416932.03</v>
      </c>
      <c r="L18" s="11">
        <f t="shared" si="0"/>
        <v>78482677.249999985</v>
      </c>
    </row>
    <row r="19" spans="2:12" customFormat="1" ht="15" x14ac:dyDescent="0.25">
      <c r="B19" s="7" t="s">
        <v>34</v>
      </c>
      <c r="C19" s="8" t="s">
        <v>35</v>
      </c>
      <c r="D19" s="9">
        <v>3152692.91</v>
      </c>
      <c r="E19" s="9">
        <v>642.70000000000005</v>
      </c>
      <c r="F19" s="9">
        <v>7941.91</v>
      </c>
      <c r="G19" s="9">
        <v>419.25</v>
      </c>
      <c r="H19" s="9">
        <v>1720.92</v>
      </c>
      <c r="I19" s="9">
        <v>32149.32</v>
      </c>
      <c r="J19" s="9">
        <v>1715.7</v>
      </c>
      <c r="K19" s="10">
        <v>2912.92</v>
      </c>
      <c r="L19" s="11">
        <f t="shared" si="0"/>
        <v>3200195.6300000004</v>
      </c>
    </row>
    <row r="20" spans="2:12" customFormat="1" ht="15" x14ac:dyDescent="0.25">
      <c r="B20" s="7" t="s">
        <v>36</v>
      </c>
      <c r="C20" s="8" t="s">
        <v>37</v>
      </c>
      <c r="D20" s="9">
        <v>1320806.27</v>
      </c>
      <c r="E20" s="9">
        <v>179440.7</v>
      </c>
      <c r="F20" s="9">
        <v>223137.29</v>
      </c>
      <c r="G20" s="9">
        <v>357277.37</v>
      </c>
      <c r="H20" s="9">
        <v>33463.9</v>
      </c>
      <c r="I20" s="9">
        <v>950631.13</v>
      </c>
      <c r="J20" s="9">
        <v>12546.09</v>
      </c>
      <c r="K20" s="10">
        <v>79129.36</v>
      </c>
      <c r="L20" s="11">
        <f t="shared" si="0"/>
        <v>3156432.1099999994</v>
      </c>
    </row>
    <row r="21" spans="2:12" customFormat="1" ht="15" x14ac:dyDescent="0.25">
      <c r="B21" s="7" t="s">
        <v>38</v>
      </c>
      <c r="C21" s="8" t="s">
        <v>39</v>
      </c>
      <c r="D21" s="9">
        <v>0</v>
      </c>
      <c r="E21" s="9">
        <v>6417.73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10">
        <v>0</v>
      </c>
      <c r="L21" s="11">
        <f t="shared" si="0"/>
        <v>6417.73</v>
      </c>
    </row>
    <row r="22" spans="2:12" customFormat="1" ht="15" x14ac:dyDescent="0.25">
      <c r="B22" s="7" t="s">
        <v>40</v>
      </c>
      <c r="C22" s="8" t="s">
        <v>41</v>
      </c>
      <c r="D22" s="9">
        <v>57980952.630000003</v>
      </c>
      <c r="E22" s="9">
        <v>0</v>
      </c>
      <c r="F22" s="9">
        <v>28754.07</v>
      </c>
      <c r="G22" s="9">
        <v>153.03</v>
      </c>
      <c r="H22" s="9">
        <v>0</v>
      </c>
      <c r="I22" s="9">
        <v>50958.25</v>
      </c>
      <c r="J22" s="9">
        <v>0</v>
      </c>
      <c r="K22" s="10">
        <v>0</v>
      </c>
      <c r="L22" s="11">
        <f t="shared" si="0"/>
        <v>58060817.980000004</v>
      </c>
    </row>
    <row r="23" spans="2:12" customFormat="1" ht="15.75" thickBot="1" x14ac:dyDescent="0.3">
      <c r="B23" s="17" t="s">
        <v>42</v>
      </c>
      <c r="C23" s="18" t="s">
        <v>43</v>
      </c>
      <c r="D23" s="19">
        <v>12836830.84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20">
        <v>0</v>
      </c>
      <c r="L23" s="21">
        <f t="shared" si="0"/>
        <v>12836830.84</v>
      </c>
    </row>
    <row r="24" spans="2:12" customFormat="1" ht="16.5" thickTop="1" thickBot="1" x14ac:dyDescent="0.3">
      <c r="B24" s="22"/>
      <c r="C24" s="23" t="s">
        <v>44</v>
      </c>
      <c r="D24" s="24">
        <f t="shared" ref="D24:K24" si="2">SUM(D15:D23)</f>
        <v>254542018.52000001</v>
      </c>
      <c r="E24" s="24">
        <f t="shared" si="2"/>
        <v>62390157.75</v>
      </c>
      <c r="F24" s="24">
        <f t="shared" si="2"/>
        <v>559544.92999999993</v>
      </c>
      <c r="G24" s="24">
        <f t="shared" si="2"/>
        <v>3646317.26</v>
      </c>
      <c r="H24" s="24">
        <f t="shared" si="2"/>
        <v>1516864.3599999999</v>
      </c>
      <c r="I24" s="24">
        <f t="shared" si="2"/>
        <v>10663427.260000002</v>
      </c>
      <c r="J24" s="24">
        <f t="shared" si="2"/>
        <v>11899.87</v>
      </c>
      <c r="K24" s="25">
        <f t="shared" si="2"/>
        <v>423358.89999999997</v>
      </c>
      <c r="L24" s="26">
        <f t="shared" si="0"/>
        <v>333753588.84999996</v>
      </c>
    </row>
  </sheetData>
  <mergeCells count="1">
    <mergeCell ref="C3:K3"/>
  </mergeCells>
  <pageMargins left="0.11811023622047202" right="0.11811023622047202" top="0.74803149606299213" bottom="0.74803149606299213" header="0.31496062992126012" footer="0.31496062992126012"/>
  <pageSetup paperSize="9" scale="95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K58"/>
  <sheetViews>
    <sheetView workbookViewId="0"/>
  </sheetViews>
  <sheetFormatPr defaultRowHeight="14.25" x14ac:dyDescent="0.2"/>
  <cols>
    <col min="1" max="1" width="9.140625" style="1" customWidth="1"/>
    <col min="2" max="2" width="6.85546875" style="1" customWidth="1"/>
    <col min="3" max="3" width="37.42578125" style="1" customWidth="1"/>
    <col min="4" max="4" width="44.140625" style="1" customWidth="1"/>
    <col min="5" max="5" width="10.140625" style="51" customWidth="1"/>
    <col min="6" max="6" width="4.42578125" style="1" customWidth="1"/>
    <col min="7" max="7" width="5.28515625" style="1" customWidth="1"/>
    <col min="8" max="8" width="9.140625" style="1" customWidth="1"/>
    <col min="9" max="9" width="35.28515625" style="1" customWidth="1"/>
    <col min="10" max="10" width="49.7109375" style="1" customWidth="1"/>
    <col min="11" max="11" width="9.140625" style="1" customWidth="1"/>
    <col min="12" max="16384" width="9.140625" style="1"/>
  </cols>
  <sheetData>
    <row r="1" spans="1:11" customFormat="1" ht="15" x14ac:dyDescent="0.25">
      <c r="A1" s="1"/>
      <c r="B1" s="229"/>
      <c r="C1" s="229"/>
      <c r="D1" s="229"/>
      <c r="E1" s="242"/>
      <c r="F1" s="229"/>
      <c r="G1" s="229"/>
      <c r="H1" s="229"/>
      <c r="I1" s="229"/>
      <c r="J1" s="229"/>
    </row>
    <row r="2" spans="1:11" customFormat="1" ht="15" x14ac:dyDescent="0.25">
      <c r="A2" s="1"/>
      <c r="B2" s="229"/>
      <c r="C2" s="229"/>
      <c r="D2" s="229"/>
      <c r="E2" s="242"/>
      <c r="F2" s="229"/>
      <c r="G2" s="229"/>
      <c r="H2" s="229"/>
      <c r="I2" s="229"/>
      <c r="J2" s="229"/>
    </row>
    <row r="3" spans="1:11" customFormat="1" ht="18" x14ac:dyDescent="0.25">
      <c r="A3" s="1"/>
      <c r="B3" s="833" t="s">
        <v>556</v>
      </c>
      <c r="C3" s="833"/>
      <c r="D3" s="833"/>
      <c r="E3" s="833"/>
      <c r="F3" s="229"/>
      <c r="G3" s="229"/>
      <c r="H3" s="229"/>
      <c r="I3" s="229"/>
      <c r="J3" s="229"/>
    </row>
    <row r="4" spans="1:11" customFormat="1" ht="18" x14ac:dyDescent="0.25">
      <c r="A4" s="1"/>
      <c r="B4" s="553"/>
      <c r="C4" s="553"/>
      <c r="D4" s="553"/>
      <c r="E4" s="707"/>
      <c r="F4" s="229"/>
      <c r="G4" s="229"/>
      <c r="H4" s="229"/>
      <c r="I4" s="229"/>
      <c r="J4" s="229"/>
    </row>
    <row r="5" spans="1:11" customFormat="1" ht="18" x14ac:dyDescent="0.25">
      <c r="A5" s="1"/>
      <c r="B5" s="834" t="s">
        <v>210</v>
      </c>
      <c r="C5" s="834"/>
      <c r="D5" s="553"/>
      <c r="E5" s="707"/>
      <c r="F5" s="229"/>
      <c r="G5" s="229"/>
      <c r="H5" s="1"/>
      <c r="I5" s="1"/>
      <c r="J5" s="1"/>
      <c r="K5" s="1"/>
    </row>
    <row r="6" spans="1:11" customFormat="1" ht="15.75" thickBot="1" x14ac:dyDescent="0.3">
      <c r="A6" s="1"/>
      <c r="B6" s="549"/>
      <c r="C6" s="549"/>
      <c r="D6" s="549"/>
      <c r="E6" s="708"/>
      <c r="F6" s="229"/>
      <c r="G6" s="229"/>
      <c r="H6" s="1"/>
      <c r="I6" s="1"/>
      <c r="J6" s="1"/>
      <c r="K6" s="1"/>
    </row>
    <row r="7" spans="1:11" customFormat="1" ht="30.75" thickBot="1" x14ac:dyDescent="0.3">
      <c r="A7" s="1"/>
      <c r="B7" s="550" t="s">
        <v>200</v>
      </c>
      <c r="C7" s="555" t="s">
        <v>212</v>
      </c>
      <c r="D7" s="555" t="s">
        <v>213</v>
      </c>
      <c r="E7" s="709" t="s">
        <v>209</v>
      </c>
      <c r="F7" s="229"/>
      <c r="G7" s="229"/>
      <c r="H7" s="1"/>
      <c r="I7" s="1"/>
      <c r="J7" s="1"/>
      <c r="K7" s="1"/>
    </row>
    <row r="8" spans="1:11" s="67" customFormat="1" x14ac:dyDescent="0.2">
      <c r="B8" s="556">
        <v>1</v>
      </c>
      <c r="C8" s="557" t="s">
        <v>608</v>
      </c>
      <c r="D8" s="557" t="s">
        <v>609</v>
      </c>
      <c r="E8" s="710">
        <v>700</v>
      </c>
      <c r="F8" s="237"/>
      <c r="G8" s="237"/>
    </row>
    <row r="9" spans="1:11" s="67" customFormat="1" x14ac:dyDescent="0.2">
      <c r="B9" s="556">
        <v>2</v>
      </c>
      <c r="C9" s="558" t="s">
        <v>612</v>
      </c>
      <c r="D9" s="558" t="s">
        <v>613</v>
      </c>
      <c r="E9" s="711">
        <v>850</v>
      </c>
      <c r="F9" s="237"/>
      <c r="G9" s="237"/>
    </row>
    <row r="10" spans="1:11" s="67" customFormat="1" x14ac:dyDescent="0.2">
      <c r="B10" s="556">
        <v>3</v>
      </c>
      <c r="C10" s="558" t="s">
        <v>616</v>
      </c>
      <c r="D10" s="558" t="s">
        <v>617</v>
      </c>
      <c r="E10" s="711">
        <v>400</v>
      </c>
      <c r="F10" s="237"/>
      <c r="G10" s="237"/>
    </row>
    <row r="11" spans="1:11" s="67" customFormat="1" x14ac:dyDescent="0.2">
      <c r="B11" s="556">
        <v>4</v>
      </c>
      <c r="C11" s="558" t="s">
        <v>620</v>
      </c>
      <c r="D11" s="564" t="s">
        <v>621</v>
      </c>
      <c r="E11" s="711">
        <v>400</v>
      </c>
      <c r="F11" s="237"/>
      <c r="G11" s="237"/>
    </row>
    <row r="12" spans="1:11" s="67" customFormat="1" x14ac:dyDescent="0.2">
      <c r="B12" s="560">
        <v>5</v>
      </c>
      <c r="C12" s="561" t="s">
        <v>624</v>
      </c>
      <c r="D12" s="561" t="s">
        <v>625</v>
      </c>
      <c r="E12" s="712">
        <v>1500</v>
      </c>
      <c r="F12" s="237"/>
      <c r="G12" s="237"/>
    </row>
    <row r="13" spans="1:11" s="67" customFormat="1" x14ac:dyDescent="0.25">
      <c r="B13" s="893">
        <v>6</v>
      </c>
      <c r="C13" s="566" t="s">
        <v>628</v>
      </c>
      <c r="D13" s="563" t="s">
        <v>629</v>
      </c>
      <c r="E13" s="898">
        <v>700</v>
      </c>
      <c r="F13" s="237"/>
      <c r="G13" s="237"/>
    </row>
    <row r="14" spans="1:11" s="67" customFormat="1" x14ac:dyDescent="0.25">
      <c r="B14" s="894">
        <v>7</v>
      </c>
      <c r="C14" s="563" t="s">
        <v>612</v>
      </c>
      <c r="D14" s="562" t="s">
        <v>631</v>
      </c>
      <c r="E14" s="895">
        <v>400</v>
      </c>
      <c r="F14" s="237"/>
      <c r="G14" s="237"/>
    </row>
    <row r="15" spans="1:11" s="67" customFormat="1" x14ac:dyDescent="0.25">
      <c r="B15" s="893">
        <v>8</v>
      </c>
      <c r="C15" s="562" t="s">
        <v>634</v>
      </c>
      <c r="D15" s="762" t="s">
        <v>1035</v>
      </c>
      <c r="E15" s="895">
        <v>200</v>
      </c>
      <c r="F15" s="237"/>
      <c r="G15" s="237"/>
    </row>
    <row r="16" spans="1:11" s="67" customFormat="1" ht="25.5" x14ac:dyDescent="0.25">
      <c r="B16" s="893">
        <v>9</v>
      </c>
      <c r="C16" s="562" t="s">
        <v>567</v>
      </c>
      <c r="D16" s="899" t="s">
        <v>636</v>
      </c>
      <c r="E16" s="895">
        <v>650</v>
      </c>
      <c r="F16" s="237"/>
      <c r="G16" s="237"/>
    </row>
    <row r="17" spans="1:11" s="67" customFormat="1" x14ac:dyDescent="0.25">
      <c r="B17" s="893">
        <v>10</v>
      </c>
      <c r="C17" s="562" t="s">
        <v>639</v>
      </c>
      <c r="D17" s="562" t="s">
        <v>640</v>
      </c>
      <c r="E17" s="895">
        <v>400</v>
      </c>
      <c r="F17" s="237"/>
      <c r="G17" s="237"/>
    </row>
    <row r="18" spans="1:11" s="67" customFormat="1" ht="25.5" x14ac:dyDescent="0.25">
      <c r="B18" s="893">
        <v>11</v>
      </c>
      <c r="C18" s="899" t="s">
        <v>643</v>
      </c>
      <c r="D18" s="562" t="s">
        <v>644</v>
      </c>
      <c r="E18" s="895">
        <v>800</v>
      </c>
      <c r="F18" s="237"/>
      <c r="G18" s="237"/>
    </row>
    <row r="19" spans="1:11" s="67" customFormat="1" ht="18.75" customHeight="1" x14ac:dyDescent="0.2">
      <c r="B19" s="893">
        <v>12</v>
      </c>
      <c r="C19" s="562" t="s">
        <v>647</v>
      </c>
      <c r="D19" s="562" t="s">
        <v>648</v>
      </c>
      <c r="E19" s="895">
        <v>1500</v>
      </c>
      <c r="F19" s="229"/>
      <c r="G19" s="229"/>
    </row>
    <row r="20" spans="1:11" s="67" customFormat="1" ht="25.5" x14ac:dyDescent="0.2">
      <c r="B20" s="893">
        <v>13</v>
      </c>
      <c r="C20" s="562" t="s">
        <v>651</v>
      </c>
      <c r="D20" s="900" t="s">
        <v>652</v>
      </c>
      <c r="E20" s="895">
        <v>1500</v>
      </c>
      <c r="F20" s="229"/>
      <c r="G20" s="229"/>
    </row>
    <row r="21" spans="1:11" s="67" customFormat="1" ht="16.5" customHeight="1" thickBot="1" x14ac:dyDescent="0.25">
      <c r="B21" s="896"/>
      <c r="C21" s="565"/>
      <c r="D21" s="565"/>
      <c r="E21" s="897">
        <v>10000</v>
      </c>
      <c r="F21" s="229"/>
      <c r="G21" s="242"/>
    </row>
    <row r="22" spans="1:11" customFormat="1" ht="15" x14ac:dyDescent="0.25">
      <c r="A22" s="1"/>
      <c r="B22" s="229"/>
      <c r="C22" s="229"/>
      <c r="D22" s="229"/>
      <c r="E22" s="713"/>
      <c r="F22" s="229"/>
      <c r="G22" s="242"/>
      <c r="H22" s="1"/>
      <c r="I22" s="1"/>
      <c r="J22" s="1"/>
      <c r="K22" s="1"/>
    </row>
    <row r="23" spans="1:11" s="67" customFormat="1" ht="18" x14ac:dyDescent="0.25">
      <c r="B23" s="554" t="s">
        <v>211</v>
      </c>
      <c r="C23" s="554"/>
      <c r="D23" s="237"/>
      <c r="E23"/>
      <c r="F23" s="229"/>
      <c r="G23" s="229"/>
    </row>
    <row r="24" spans="1:11" s="67" customFormat="1" ht="15.75" thickBot="1" x14ac:dyDescent="0.3">
      <c r="B24" s="237"/>
      <c r="C24" s="237"/>
      <c r="D24" s="237"/>
      <c r="E24"/>
      <c r="F24" s="229"/>
      <c r="G24" s="229"/>
    </row>
    <row r="25" spans="1:11" s="67" customFormat="1" ht="13.5" customHeight="1" x14ac:dyDescent="0.2">
      <c r="B25" s="550" t="s">
        <v>200</v>
      </c>
      <c r="C25" s="551" t="s">
        <v>212</v>
      </c>
      <c r="D25" s="567" t="s">
        <v>607</v>
      </c>
      <c r="E25" s="568" t="s">
        <v>209</v>
      </c>
      <c r="F25" s="229"/>
      <c r="G25" s="229"/>
    </row>
    <row r="26" spans="1:11" s="67" customFormat="1" ht="25.5" x14ac:dyDescent="0.2">
      <c r="B26" s="766">
        <v>1</v>
      </c>
      <c r="C26" s="767" t="s">
        <v>610</v>
      </c>
      <c r="D26" s="901" t="s">
        <v>611</v>
      </c>
      <c r="E26" s="768">
        <v>800</v>
      </c>
      <c r="F26" s="229"/>
      <c r="G26" s="229"/>
    </row>
    <row r="27" spans="1:11" s="67" customFormat="1" ht="15" customHeight="1" x14ac:dyDescent="0.2">
      <c r="B27" s="766">
        <v>2</v>
      </c>
      <c r="C27" s="902" t="s">
        <v>614</v>
      </c>
      <c r="D27" s="764" t="s">
        <v>615</v>
      </c>
      <c r="E27" s="765">
        <v>400</v>
      </c>
      <c r="F27" s="229"/>
      <c r="G27" s="229"/>
    </row>
    <row r="28" spans="1:11" s="67" customFormat="1" x14ac:dyDescent="0.2">
      <c r="B28" s="766">
        <v>3</v>
      </c>
      <c r="C28" s="903" t="s">
        <v>618</v>
      </c>
      <c r="D28" s="904" t="s">
        <v>619</v>
      </c>
      <c r="E28" s="765">
        <v>500</v>
      </c>
      <c r="F28" s="229"/>
      <c r="G28" s="229"/>
    </row>
    <row r="29" spans="1:11" s="67" customFormat="1" ht="25.5" x14ac:dyDescent="0.2">
      <c r="B29" s="766">
        <v>4</v>
      </c>
      <c r="C29" s="763" t="s">
        <v>622</v>
      </c>
      <c r="D29" s="764" t="s">
        <v>623</v>
      </c>
      <c r="E29" s="765">
        <v>500</v>
      </c>
      <c r="F29" s="229"/>
      <c r="G29" s="229"/>
    </row>
    <row r="30" spans="1:11" s="67" customFormat="1" x14ac:dyDescent="0.2">
      <c r="B30" s="766">
        <v>5</v>
      </c>
      <c r="C30" s="903" t="s">
        <v>626</v>
      </c>
      <c r="D30" s="904" t="s">
        <v>627</v>
      </c>
      <c r="E30" s="765">
        <v>500</v>
      </c>
      <c r="F30" s="229"/>
      <c r="G30" s="229"/>
    </row>
    <row r="31" spans="1:11" s="67" customFormat="1" x14ac:dyDescent="0.2">
      <c r="B31" s="766">
        <v>6</v>
      </c>
      <c r="C31" s="903" t="s">
        <v>596</v>
      </c>
      <c r="D31" s="764" t="s">
        <v>630</v>
      </c>
      <c r="E31" s="765">
        <v>400</v>
      </c>
      <c r="F31" s="229"/>
      <c r="G31" s="229"/>
    </row>
    <row r="32" spans="1:11" s="67" customFormat="1" x14ac:dyDescent="0.2">
      <c r="B32" s="766">
        <v>7</v>
      </c>
      <c r="C32" s="763" t="s">
        <v>632</v>
      </c>
      <c r="D32" s="764" t="s">
        <v>633</v>
      </c>
      <c r="E32" s="765">
        <v>800</v>
      </c>
      <c r="F32" s="229"/>
      <c r="G32" s="229"/>
    </row>
    <row r="33" spans="1:10" s="67" customFormat="1" ht="25.5" x14ac:dyDescent="0.2">
      <c r="B33" s="766">
        <v>8</v>
      </c>
      <c r="C33" s="763" t="s">
        <v>632</v>
      </c>
      <c r="D33" s="764" t="s">
        <v>635</v>
      </c>
      <c r="E33" s="765">
        <v>1100</v>
      </c>
      <c r="F33" s="229"/>
      <c r="G33" s="229"/>
    </row>
    <row r="34" spans="1:10" s="67" customFormat="1" x14ac:dyDescent="0.2">
      <c r="B34" s="766">
        <v>9</v>
      </c>
      <c r="C34" s="903" t="s">
        <v>637</v>
      </c>
      <c r="D34" s="904" t="s">
        <v>638</v>
      </c>
      <c r="E34" s="765">
        <v>800</v>
      </c>
      <c r="F34" s="229"/>
      <c r="G34" s="229"/>
    </row>
    <row r="35" spans="1:10" s="67" customFormat="1" x14ac:dyDescent="0.25">
      <c r="B35" s="766">
        <v>10</v>
      </c>
      <c r="C35" s="903" t="s">
        <v>641</v>
      </c>
      <c r="D35" s="904" t="s">
        <v>642</v>
      </c>
      <c r="E35" s="765">
        <v>1200</v>
      </c>
      <c r="F35" s="237"/>
      <c r="G35" s="237"/>
    </row>
    <row r="36" spans="1:10" ht="25.5" x14ac:dyDescent="0.2">
      <c r="B36" s="766">
        <v>11</v>
      </c>
      <c r="C36" s="902" t="s">
        <v>645</v>
      </c>
      <c r="D36" s="764" t="s">
        <v>646</v>
      </c>
      <c r="E36" s="765">
        <v>200</v>
      </c>
      <c r="F36" s="237"/>
      <c r="G36" s="237"/>
      <c r="H36" s="237"/>
      <c r="I36" s="237"/>
      <c r="J36" s="237"/>
    </row>
    <row r="37" spans="1:10" x14ac:dyDescent="0.2">
      <c r="B37" s="766">
        <v>12</v>
      </c>
      <c r="C37" s="902" t="s">
        <v>649</v>
      </c>
      <c r="D37" s="767" t="s">
        <v>650</v>
      </c>
      <c r="E37" s="765">
        <v>900</v>
      </c>
      <c r="F37" s="237"/>
      <c r="G37" s="237"/>
      <c r="H37" s="237"/>
      <c r="I37" s="237"/>
      <c r="J37" s="237"/>
    </row>
    <row r="38" spans="1:10" x14ac:dyDescent="0.2">
      <c r="B38" s="766">
        <v>13</v>
      </c>
      <c r="C38" s="905" t="s">
        <v>653</v>
      </c>
      <c r="D38" s="906" t="s">
        <v>654</v>
      </c>
      <c r="E38" s="907">
        <v>500</v>
      </c>
      <c r="F38" s="237"/>
      <c r="G38" s="237"/>
      <c r="H38" s="237"/>
      <c r="I38" s="237"/>
      <c r="J38" s="237"/>
    </row>
    <row r="39" spans="1:10" x14ac:dyDescent="0.2">
      <c r="B39" s="766">
        <v>14</v>
      </c>
      <c r="C39" s="905" t="s">
        <v>1019</v>
      </c>
      <c r="D39" s="906" t="s">
        <v>1020</v>
      </c>
      <c r="E39" s="907">
        <v>400</v>
      </c>
      <c r="F39" s="237"/>
      <c r="G39" s="237"/>
      <c r="H39" s="237"/>
      <c r="I39" s="237"/>
      <c r="J39" s="237"/>
    </row>
    <row r="40" spans="1:10" x14ac:dyDescent="0.2">
      <c r="B40" s="766">
        <v>15</v>
      </c>
      <c r="C40" s="905" t="s">
        <v>653</v>
      </c>
      <c r="D40" s="906" t="s">
        <v>655</v>
      </c>
      <c r="E40" s="907">
        <v>600</v>
      </c>
    </row>
    <row r="41" spans="1:10" x14ac:dyDescent="0.2">
      <c r="B41" s="766">
        <v>16</v>
      </c>
      <c r="C41" s="767" t="s">
        <v>656</v>
      </c>
      <c r="D41" s="767" t="s">
        <v>657</v>
      </c>
      <c r="E41" s="765">
        <v>400</v>
      </c>
    </row>
    <row r="42" spans="1:10" x14ac:dyDescent="0.2">
      <c r="B42" s="766">
        <v>17</v>
      </c>
      <c r="C42" s="767" t="s">
        <v>658</v>
      </c>
      <c r="D42" s="767" t="s">
        <v>659</v>
      </c>
      <c r="E42" s="765">
        <v>700</v>
      </c>
    </row>
    <row r="43" spans="1:10" customFormat="1" ht="14.25" customHeight="1" x14ac:dyDescent="0.25">
      <c r="A43" s="1"/>
      <c r="B43" s="766">
        <v>18</v>
      </c>
      <c r="C43" s="767" t="s">
        <v>658</v>
      </c>
      <c r="D43" s="767" t="s">
        <v>660</v>
      </c>
      <c r="E43" s="765">
        <v>700</v>
      </c>
      <c r="F43" s="1"/>
      <c r="G43" s="1"/>
      <c r="H43" s="1"/>
      <c r="I43" s="1"/>
      <c r="J43" s="1"/>
    </row>
    <row r="44" spans="1:10" x14ac:dyDescent="0.2">
      <c r="B44" s="766">
        <v>19</v>
      </c>
      <c r="C44" s="902" t="s">
        <v>588</v>
      </c>
      <c r="D44" s="904" t="s">
        <v>661</v>
      </c>
      <c r="E44" s="768">
        <v>600</v>
      </c>
    </row>
    <row r="45" spans="1:10" customFormat="1" ht="14.25" customHeight="1" x14ac:dyDescent="0.25">
      <c r="A45" s="1"/>
      <c r="B45" s="766">
        <v>20</v>
      </c>
      <c r="C45" s="767" t="s">
        <v>578</v>
      </c>
      <c r="D45" s="767" t="s">
        <v>662</v>
      </c>
      <c r="E45" s="765">
        <v>400</v>
      </c>
      <c r="F45" s="1"/>
      <c r="G45" s="1"/>
      <c r="H45" s="1"/>
      <c r="I45" s="1"/>
      <c r="J45" s="1"/>
    </row>
    <row r="46" spans="1:10" x14ac:dyDescent="0.2">
      <c r="B46" s="766">
        <v>21</v>
      </c>
      <c r="C46" s="767" t="s">
        <v>663</v>
      </c>
      <c r="D46" s="767" t="s">
        <v>664</v>
      </c>
      <c r="E46" s="765">
        <v>400</v>
      </c>
    </row>
    <row r="47" spans="1:10" x14ac:dyDescent="0.2">
      <c r="B47" s="766">
        <v>22</v>
      </c>
      <c r="C47" s="767" t="s">
        <v>665</v>
      </c>
      <c r="D47" s="767" t="s">
        <v>666</v>
      </c>
      <c r="E47" s="768">
        <v>900</v>
      </c>
    </row>
    <row r="48" spans="1:10" x14ac:dyDescent="0.2">
      <c r="B48" s="766">
        <v>23</v>
      </c>
      <c r="C48" s="767" t="s">
        <v>667</v>
      </c>
      <c r="D48" s="767" t="s">
        <v>668</v>
      </c>
      <c r="E48" s="768">
        <v>600</v>
      </c>
    </row>
    <row r="49" spans="2:5" x14ac:dyDescent="0.2">
      <c r="B49" s="766">
        <v>24</v>
      </c>
      <c r="C49" s="767" t="s">
        <v>669</v>
      </c>
      <c r="D49" s="767" t="s">
        <v>670</v>
      </c>
      <c r="E49" s="768">
        <v>200</v>
      </c>
    </row>
    <row r="50" spans="2:5" x14ac:dyDescent="0.2">
      <c r="B50" s="766">
        <v>25</v>
      </c>
      <c r="C50" s="767" t="s">
        <v>671</v>
      </c>
      <c r="D50" s="767" t="s">
        <v>672</v>
      </c>
      <c r="E50" s="768">
        <v>800</v>
      </c>
    </row>
    <row r="51" spans="2:5" ht="25.5" x14ac:dyDescent="0.2">
      <c r="B51" s="766">
        <v>26</v>
      </c>
      <c r="C51" s="767" t="s">
        <v>584</v>
      </c>
      <c r="D51" s="764" t="s">
        <v>673</v>
      </c>
      <c r="E51" s="768">
        <v>500</v>
      </c>
    </row>
    <row r="52" spans="2:5" x14ac:dyDescent="0.2">
      <c r="B52" s="766">
        <v>27</v>
      </c>
      <c r="C52" s="767" t="s">
        <v>674</v>
      </c>
      <c r="D52" s="767" t="s">
        <v>675</v>
      </c>
      <c r="E52" s="768">
        <v>300</v>
      </c>
    </row>
    <row r="53" spans="2:5" x14ac:dyDescent="0.2">
      <c r="B53" s="766">
        <v>28</v>
      </c>
      <c r="C53" s="767" t="s">
        <v>676</v>
      </c>
      <c r="D53" s="767" t="s">
        <v>677</v>
      </c>
      <c r="E53" s="768">
        <v>200</v>
      </c>
    </row>
    <row r="54" spans="2:5" x14ac:dyDescent="0.2">
      <c r="B54" s="766">
        <v>29</v>
      </c>
      <c r="C54" s="767" t="s">
        <v>678</v>
      </c>
      <c r="D54" s="767" t="s">
        <v>679</v>
      </c>
      <c r="E54" s="768">
        <v>600</v>
      </c>
    </row>
    <row r="55" spans="2:5" x14ac:dyDescent="0.2">
      <c r="B55" s="766">
        <v>30</v>
      </c>
      <c r="C55" s="767" t="s">
        <v>680</v>
      </c>
      <c r="D55" s="767" t="s">
        <v>681</v>
      </c>
      <c r="E55" s="768">
        <v>300</v>
      </c>
    </row>
    <row r="56" spans="2:5" x14ac:dyDescent="0.2">
      <c r="B56" s="766">
        <v>31</v>
      </c>
      <c r="C56" s="908" t="s">
        <v>682</v>
      </c>
      <c r="D56" s="909" t="s">
        <v>683</v>
      </c>
      <c r="E56" s="910">
        <v>500</v>
      </c>
    </row>
    <row r="57" spans="2:5" x14ac:dyDescent="0.2">
      <c r="B57" s="766">
        <v>32</v>
      </c>
      <c r="C57" s="908" t="s">
        <v>606</v>
      </c>
      <c r="D57" s="909" t="s">
        <v>684</v>
      </c>
      <c r="E57" s="910">
        <v>700</v>
      </c>
    </row>
    <row r="58" spans="2:5" ht="16.5" thickBot="1" x14ac:dyDescent="0.25">
      <c r="B58" s="559"/>
      <c r="C58" s="695" t="s">
        <v>9</v>
      </c>
      <c r="D58" s="552"/>
      <c r="E58" s="569">
        <f>SUM(E26:E57)</f>
        <v>18400</v>
      </c>
    </row>
  </sheetData>
  <mergeCells count="2">
    <mergeCell ref="B3:E3"/>
    <mergeCell ref="B5:C5"/>
  </mergeCells>
  <pageMargins left="0.51181102362204722" right="0.43307086614173229" top="0.19685039370078741" bottom="0.19685039370078741" header="0.51181102362204722" footer="0.51181102362204722"/>
  <pageSetup paperSize="9" scale="85" fitToWidth="0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S73"/>
  <sheetViews>
    <sheetView workbookViewId="0"/>
  </sheetViews>
  <sheetFormatPr defaultRowHeight="15" x14ac:dyDescent="0.25"/>
  <cols>
    <col min="1" max="1" width="9.140625" style="696"/>
    <col min="2" max="2" width="6.5703125" customWidth="1"/>
    <col min="3" max="3" width="43.140625" customWidth="1"/>
    <col min="4" max="4" width="50.7109375" customWidth="1"/>
    <col min="5" max="5" width="9.140625" style="243" customWidth="1"/>
    <col min="6" max="6" width="19.140625" customWidth="1"/>
    <col min="7" max="7" width="9.140625" customWidth="1"/>
  </cols>
  <sheetData>
    <row r="1" spans="2:19" x14ac:dyDescent="0.25">
      <c r="B1" s="571"/>
      <c r="C1" s="571"/>
      <c r="D1" s="835" t="s">
        <v>214</v>
      </c>
      <c r="E1" s="836"/>
    </row>
    <row r="2" spans="2:19" ht="18.75" x14ac:dyDescent="0.3">
      <c r="B2" s="837" t="s">
        <v>557</v>
      </c>
      <c r="C2" s="837"/>
      <c r="D2" s="837"/>
      <c r="E2" s="836"/>
    </row>
    <row r="3" spans="2:19" ht="15.75" thickBot="1" x14ac:dyDescent="0.3">
      <c r="B3" s="571"/>
      <c r="C3" s="571"/>
      <c r="D3" s="571"/>
      <c r="E3" s="714"/>
    </row>
    <row r="4" spans="2:19" ht="27" customHeight="1" x14ac:dyDescent="0.25">
      <c r="B4" s="572" t="s">
        <v>200</v>
      </c>
      <c r="C4" s="573" t="s">
        <v>215</v>
      </c>
      <c r="D4" s="573" t="s">
        <v>213</v>
      </c>
      <c r="E4" s="574" t="s">
        <v>209</v>
      </c>
      <c r="F4" s="244"/>
      <c r="G4" s="245"/>
      <c r="H4" s="829"/>
      <c r="I4" s="829"/>
      <c r="J4" s="829"/>
      <c r="K4" s="829"/>
      <c r="L4" s="829"/>
      <c r="M4" s="829"/>
      <c r="N4" s="829"/>
      <c r="O4" s="829"/>
      <c r="P4" s="829"/>
      <c r="Q4" s="829"/>
      <c r="R4" s="829"/>
      <c r="S4" s="829"/>
    </row>
    <row r="5" spans="2:19" x14ac:dyDescent="0.25">
      <c r="B5" s="660" t="s">
        <v>685</v>
      </c>
      <c r="C5" s="661" t="s">
        <v>686</v>
      </c>
      <c r="D5" s="662" t="s">
        <v>687</v>
      </c>
      <c r="E5" s="715">
        <v>2500</v>
      </c>
      <c r="F5" s="246"/>
    </row>
    <row r="6" spans="2:19" x14ac:dyDescent="0.25">
      <c r="B6" s="660" t="s">
        <v>688</v>
      </c>
      <c r="C6" s="661" t="s">
        <v>689</v>
      </c>
      <c r="D6" s="662" t="s">
        <v>690</v>
      </c>
      <c r="E6" s="715">
        <v>450</v>
      </c>
      <c r="F6" s="246"/>
    </row>
    <row r="7" spans="2:19" x14ac:dyDescent="0.25">
      <c r="B7" s="660" t="s">
        <v>691</v>
      </c>
      <c r="C7" s="661" t="s">
        <v>692</v>
      </c>
      <c r="D7" s="662" t="s">
        <v>693</v>
      </c>
      <c r="E7" s="715">
        <v>2200</v>
      </c>
      <c r="F7" s="246"/>
    </row>
    <row r="8" spans="2:19" x14ac:dyDescent="0.25">
      <c r="B8" s="660" t="s">
        <v>694</v>
      </c>
      <c r="C8" s="663" t="s">
        <v>695</v>
      </c>
      <c r="D8" s="664" t="s">
        <v>696</v>
      </c>
      <c r="E8" s="715">
        <v>950</v>
      </c>
      <c r="F8" s="246"/>
    </row>
    <row r="9" spans="2:19" x14ac:dyDescent="0.25">
      <c r="B9" s="660" t="s">
        <v>697</v>
      </c>
      <c r="C9" s="663" t="s">
        <v>698</v>
      </c>
      <c r="D9" s="664" t="s">
        <v>699</v>
      </c>
      <c r="E9" s="715">
        <v>2600</v>
      </c>
      <c r="F9" s="246"/>
    </row>
    <row r="10" spans="2:19" x14ac:dyDescent="0.25">
      <c r="B10" s="660" t="s">
        <v>700</v>
      </c>
      <c r="C10" s="663" t="s">
        <v>698</v>
      </c>
      <c r="D10" s="664" t="s">
        <v>701</v>
      </c>
      <c r="E10" s="715">
        <v>3100</v>
      </c>
      <c r="F10" s="246"/>
    </row>
    <row r="11" spans="2:19" x14ac:dyDescent="0.25">
      <c r="B11" s="660" t="s">
        <v>702</v>
      </c>
      <c r="C11" s="663" t="s">
        <v>703</v>
      </c>
      <c r="D11" s="665" t="s">
        <v>704</v>
      </c>
      <c r="E11" s="715">
        <v>450</v>
      </c>
      <c r="F11" s="246"/>
    </row>
    <row r="12" spans="2:19" x14ac:dyDescent="0.25">
      <c r="B12" s="660" t="s">
        <v>705</v>
      </c>
      <c r="C12" s="666" t="s">
        <v>706</v>
      </c>
      <c r="D12" s="664" t="s">
        <v>707</v>
      </c>
      <c r="E12" s="715">
        <v>450</v>
      </c>
      <c r="F12" s="246"/>
    </row>
    <row r="13" spans="2:19" x14ac:dyDescent="0.25">
      <c r="B13" s="660" t="s">
        <v>708</v>
      </c>
      <c r="C13" s="667" t="s">
        <v>709</v>
      </c>
      <c r="D13" s="664" t="s">
        <v>710</v>
      </c>
      <c r="E13" s="715">
        <v>2500</v>
      </c>
      <c r="F13" s="246"/>
    </row>
    <row r="14" spans="2:19" x14ac:dyDescent="0.25">
      <c r="B14" s="660" t="s">
        <v>422</v>
      </c>
      <c r="C14" s="661" t="s">
        <v>669</v>
      </c>
      <c r="D14" s="664" t="s">
        <v>711</v>
      </c>
      <c r="E14" s="715">
        <v>450</v>
      </c>
      <c r="F14" s="246"/>
    </row>
    <row r="15" spans="2:19" ht="12.75" customHeight="1" x14ac:dyDescent="0.25">
      <c r="B15" s="660" t="s">
        <v>712</v>
      </c>
      <c r="C15" s="668" t="s">
        <v>713</v>
      </c>
      <c r="D15" s="669" t="s">
        <v>714</v>
      </c>
      <c r="E15" s="715">
        <v>900</v>
      </c>
      <c r="F15" s="246"/>
    </row>
    <row r="16" spans="2:19" x14ac:dyDescent="0.25">
      <c r="B16" s="660" t="s">
        <v>715</v>
      </c>
      <c r="C16" s="661" t="s">
        <v>716</v>
      </c>
      <c r="D16" s="669" t="s">
        <v>717</v>
      </c>
      <c r="E16" s="715">
        <v>1300</v>
      </c>
      <c r="F16" s="246"/>
    </row>
    <row r="17" spans="2:6" x14ac:dyDescent="0.25">
      <c r="B17" s="660" t="s">
        <v>718</v>
      </c>
      <c r="C17" s="661" t="s">
        <v>719</v>
      </c>
      <c r="D17" s="669" t="s">
        <v>720</v>
      </c>
      <c r="E17" s="715">
        <v>3000</v>
      </c>
      <c r="F17" s="246"/>
    </row>
    <row r="18" spans="2:6" x14ac:dyDescent="0.25">
      <c r="B18" s="660" t="s">
        <v>721</v>
      </c>
      <c r="C18" s="661" t="s">
        <v>722</v>
      </c>
      <c r="D18" s="669" t="s">
        <v>723</v>
      </c>
      <c r="E18" s="715">
        <v>3100</v>
      </c>
      <c r="F18" s="246"/>
    </row>
    <row r="19" spans="2:6" x14ac:dyDescent="0.25">
      <c r="B19" s="660" t="s">
        <v>724</v>
      </c>
      <c r="C19" s="661" t="s">
        <v>725</v>
      </c>
      <c r="D19" s="669" t="s">
        <v>726</v>
      </c>
      <c r="E19" s="715">
        <v>2300</v>
      </c>
      <c r="F19" s="246"/>
    </row>
    <row r="20" spans="2:6" ht="25.5" x14ac:dyDescent="0.25">
      <c r="B20" s="660" t="s">
        <v>727</v>
      </c>
      <c r="C20" s="753" t="s">
        <v>728</v>
      </c>
      <c r="D20" s="664" t="s">
        <v>729</v>
      </c>
      <c r="E20" s="752">
        <v>1800</v>
      </c>
      <c r="F20" s="246"/>
    </row>
    <row r="21" spans="2:6" x14ac:dyDescent="0.25">
      <c r="B21" s="660" t="s">
        <v>730</v>
      </c>
      <c r="C21" s="670" t="s">
        <v>731</v>
      </c>
      <c r="D21" s="671" t="s">
        <v>732</v>
      </c>
      <c r="E21" s="715">
        <v>750</v>
      </c>
      <c r="F21" s="246"/>
    </row>
    <row r="22" spans="2:6" x14ac:dyDescent="0.25">
      <c r="B22" s="660" t="s">
        <v>733</v>
      </c>
      <c r="C22" s="661" t="s">
        <v>734</v>
      </c>
      <c r="D22" s="669" t="s">
        <v>735</v>
      </c>
      <c r="E22" s="715">
        <v>950</v>
      </c>
      <c r="F22" s="246"/>
    </row>
    <row r="23" spans="2:6" x14ac:dyDescent="0.25">
      <c r="B23" s="660" t="s">
        <v>736</v>
      </c>
      <c r="C23" s="668" t="s">
        <v>737</v>
      </c>
      <c r="D23" s="671" t="s">
        <v>738</v>
      </c>
      <c r="E23" s="715">
        <v>950</v>
      </c>
      <c r="F23" s="246"/>
    </row>
    <row r="24" spans="2:6" x14ac:dyDescent="0.25">
      <c r="B24" s="660" t="s">
        <v>739</v>
      </c>
      <c r="C24" s="661" t="s">
        <v>740</v>
      </c>
      <c r="D24" s="671" t="s">
        <v>741</v>
      </c>
      <c r="E24" s="715">
        <v>2500</v>
      </c>
      <c r="F24" s="246"/>
    </row>
    <row r="25" spans="2:6" x14ac:dyDescent="0.25">
      <c r="B25" s="660" t="s">
        <v>742</v>
      </c>
      <c r="C25" s="661" t="s">
        <v>740</v>
      </c>
      <c r="D25" s="671" t="s">
        <v>743</v>
      </c>
      <c r="E25" s="715">
        <v>750</v>
      </c>
      <c r="F25" s="246"/>
    </row>
    <row r="26" spans="2:6" x14ac:dyDescent="0.25">
      <c r="B26" s="660" t="s">
        <v>744</v>
      </c>
      <c r="C26" s="661" t="s">
        <v>745</v>
      </c>
      <c r="D26" s="662" t="s">
        <v>746</v>
      </c>
      <c r="E26" s="715">
        <v>2700</v>
      </c>
      <c r="F26" s="246"/>
    </row>
    <row r="27" spans="2:6" x14ac:dyDescent="0.25">
      <c r="B27" s="660" t="s">
        <v>747</v>
      </c>
      <c r="C27" s="661" t="s">
        <v>748</v>
      </c>
      <c r="D27" s="662" t="s">
        <v>749</v>
      </c>
      <c r="E27" s="715">
        <v>750</v>
      </c>
      <c r="F27" s="246"/>
    </row>
    <row r="28" spans="2:6" x14ac:dyDescent="0.25">
      <c r="B28" s="660" t="s">
        <v>750</v>
      </c>
      <c r="C28" s="661" t="s">
        <v>751</v>
      </c>
      <c r="D28" s="662" t="s">
        <v>752</v>
      </c>
      <c r="E28" s="715">
        <v>2200</v>
      </c>
      <c r="F28" s="246"/>
    </row>
    <row r="29" spans="2:6" x14ac:dyDescent="0.25">
      <c r="B29" s="660" t="s">
        <v>753</v>
      </c>
      <c r="C29" s="661" t="s">
        <v>754</v>
      </c>
      <c r="D29" s="662" t="s">
        <v>755</v>
      </c>
      <c r="E29" s="715">
        <v>450</v>
      </c>
      <c r="F29" s="246"/>
    </row>
    <row r="30" spans="2:6" x14ac:dyDescent="0.25">
      <c r="B30" s="660" t="s">
        <v>756</v>
      </c>
      <c r="C30" s="661" t="s">
        <v>757</v>
      </c>
      <c r="D30" s="662" t="s">
        <v>758</v>
      </c>
      <c r="E30" s="715">
        <v>3000</v>
      </c>
      <c r="F30" s="246"/>
    </row>
    <row r="31" spans="2:6" x14ac:dyDescent="0.25">
      <c r="B31" s="660" t="s">
        <v>759</v>
      </c>
      <c r="C31" s="668" t="s">
        <v>760</v>
      </c>
      <c r="D31" s="672" t="s">
        <v>761</v>
      </c>
      <c r="E31" s="715">
        <v>600</v>
      </c>
      <c r="F31" s="246"/>
    </row>
    <row r="32" spans="2:6" x14ac:dyDescent="0.25">
      <c r="B32" s="660" t="s">
        <v>762</v>
      </c>
      <c r="C32" s="668" t="s">
        <v>760</v>
      </c>
      <c r="D32" s="672" t="s">
        <v>763</v>
      </c>
      <c r="E32" s="715">
        <v>350</v>
      </c>
      <c r="F32" s="248"/>
    </row>
    <row r="33" spans="2:6" x14ac:dyDescent="0.25">
      <c r="B33" s="660" t="s">
        <v>764</v>
      </c>
      <c r="C33" s="668" t="s">
        <v>765</v>
      </c>
      <c r="D33" s="672" t="s">
        <v>766</v>
      </c>
      <c r="E33" s="716">
        <v>1950</v>
      </c>
      <c r="F33" s="246"/>
    </row>
    <row r="34" spans="2:6" x14ac:dyDescent="0.25">
      <c r="B34" s="673" t="s">
        <v>767</v>
      </c>
      <c r="C34" s="674" t="s">
        <v>686</v>
      </c>
      <c r="D34" s="675" t="s">
        <v>768</v>
      </c>
      <c r="E34" s="717">
        <v>3100</v>
      </c>
      <c r="F34" s="246"/>
    </row>
    <row r="35" spans="2:6" x14ac:dyDescent="0.25">
      <c r="B35" s="673" t="s">
        <v>769</v>
      </c>
      <c r="C35" s="676" t="s">
        <v>692</v>
      </c>
      <c r="D35" s="677" t="s">
        <v>770</v>
      </c>
      <c r="E35" s="718">
        <v>3100</v>
      </c>
      <c r="F35" s="246"/>
    </row>
    <row r="36" spans="2:6" x14ac:dyDescent="0.25">
      <c r="B36" s="673" t="s">
        <v>771</v>
      </c>
      <c r="C36" s="676" t="s">
        <v>765</v>
      </c>
      <c r="D36" s="676" t="s">
        <v>772</v>
      </c>
      <c r="E36" s="719">
        <v>3000</v>
      </c>
      <c r="F36" s="246"/>
    </row>
    <row r="37" spans="2:6" x14ac:dyDescent="0.25">
      <c r="B37" s="673" t="s">
        <v>773</v>
      </c>
      <c r="C37" s="677" t="s">
        <v>774</v>
      </c>
      <c r="D37" s="676" t="s">
        <v>775</v>
      </c>
      <c r="E37" s="719">
        <v>950</v>
      </c>
      <c r="F37" s="246"/>
    </row>
    <row r="38" spans="2:6" x14ac:dyDescent="0.25">
      <c r="B38" s="673" t="s">
        <v>776</v>
      </c>
      <c r="C38" s="676" t="s">
        <v>777</v>
      </c>
      <c r="D38" s="676" t="s">
        <v>778</v>
      </c>
      <c r="E38" s="720">
        <v>950</v>
      </c>
      <c r="F38" s="246"/>
    </row>
    <row r="39" spans="2:6" x14ac:dyDescent="0.25">
      <c r="B39" s="673" t="s">
        <v>779</v>
      </c>
      <c r="C39" s="676" t="s">
        <v>780</v>
      </c>
      <c r="D39" s="676" t="s">
        <v>781</v>
      </c>
      <c r="E39" s="720">
        <v>950</v>
      </c>
      <c r="F39" s="246"/>
    </row>
    <row r="40" spans="2:6" x14ac:dyDescent="0.25">
      <c r="B40" s="673" t="s">
        <v>782</v>
      </c>
      <c r="C40" s="678" t="s">
        <v>669</v>
      </c>
      <c r="D40" s="679" t="s">
        <v>783</v>
      </c>
      <c r="E40" s="720">
        <v>500</v>
      </c>
      <c r="F40" s="246"/>
    </row>
    <row r="41" spans="2:6" x14ac:dyDescent="0.25">
      <c r="B41" s="673" t="s">
        <v>784</v>
      </c>
      <c r="C41" s="676" t="s">
        <v>785</v>
      </c>
      <c r="D41" s="676" t="s">
        <v>786</v>
      </c>
      <c r="E41" s="720">
        <v>1050</v>
      </c>
      <c r="F41" s="246"/>
    </row>
    <row r="42" spans="2:6" x14ac:dyDescent="0.25">
      <c r="B42" s="673" t="s">
        <v>787</v>
      </c>
      <c r="C42" s="676" t="s">
        <v>737</v>
      </c>
      <c r="D42" s="676" t="s">
        <v>788</v>
      </c>
      <c r="E42" s="720">
        <v>2400</v>
      </c>
      <c r="F42" s="246"/>
    </row>
    <row r="43" spans="2:6" x14ac:dyDescent="0.25">
      <c r="B43" s="660" t="s">
        <v>789</v>
      </c>
      <c r="C43" s="680" t="s">
        <v>716</v>
      </c>
      <c r="D43" s="681" t="s">
        <v>790</v>
      </c>
      <c r="E43" s="721">
        <v>450</v>
      </c>
      <c r="F43" s="246"/>
    </row>
    <row r="44" spans="2:6" x14ac:dyDescent="0.25">
      <c r="B44" s="660" t="s">
        <v>791</v>
      </c>
      <c r="C44" s="682" t="s">
        <v>792</v>
      </c>
      <c r="D44" s="680" t="s">
        <v>793</v>
      </c>
      <c r="E44" s="721">
        <v>450</v>
      </c>
      <c r="F44" s="246"/>
    </row>
    <row r="45" spans="2:6" ht="25.5" x14ac:dyDescent="0.25">
      <c r="B45" s="660" t="s">
        <v>794</v>
      </c>
      <c r="C45" s="754" t="s">
        <v>795</v>
      </c>
      <c r="D45" s="755" t="s">
        <v>796</v>
      </c>
      <c r="E45" s="756">
        <v>3100</v>
      </c>
      <c r="F45" s="757"/>
    </row>
    <row r="46" spans="2:6" x14ac:dyDescent="0.25">
      <c r="B46" s="660" t="s">
        <v>797</v>
      </c>
      <c r="C46" s="680" t="s">
        <v>728</v>
      </c>
      <c r="D46" s="681" t="s">
        <v>798</v>
      </c>
      <c r="E46" s="721">
        <v>3100</v>
      </c>
      <c r="F46" s="246"/>
    </row>
    <row r="47" spans="2:6" x14ac:dyDescent="0.25">
      <c r="B47" s="660" t="s">
        <v>799</v>
      </c>
      <c r="C47" s="680" t="s">
        <v>800</v>
      </c>
      <c r="D47" s="681" t="s">
        <v>801</v>
      </c>
      <c r="E47" s="721">
        <v>750</v>
      </c>
      <c r="F47" s="246"/>
    </row>
    <row r="48" spans="2:6" x14ac:dyDescent="0.25">
      <c r="B48" s="660" t="s">
        <v>802</v>
      </c>
      <c r="C48" s="680" t="s">
        <v>803</v>
      </c>
      <c r="D48" s="680" t="s">
        <v>804</v>
      </c>
      <c r="E48" s="721">
        <v>3100</v>
      </c>
      <c r="F48" s="246"/>
    </row>
    <row r="49" spans="2:6" x14ac:dyDescent="0.25">
      <c r="B49" s="660" t="s">
        <v>805</v>
      </c>
      <c r="C49" s="680" t="s">
        <v>754</v>
      </c>
      <c r="D49" s="681" t="s">
        <v>806</v>
      </c>
      <c r="E49" s="721">
        <v>500</v>
      </c>
      <c r="F49" s="246"/>
    </row>
    <row r="50" spans="2:6" x14ac:dyDescent="0.25">
      <c r="B50" s="660" t="s">
        <v>807</v>
      </c>
      <c r="C50" s="680" t="s">
        <v>703</v>
      </c>
      <c r="D50" s="684" t="s">
        <v>808</v>
      </c>
      <c r="E50" s="721">
        <v>750</v>
      </c>
      <c r="F50" s="246"/>
    </row>
    <row r="51" spans="2:6" ht="31.5" customHeight="1" x14ac:dyDescent="0.25">
      <c r="B51" s="660" t="s">
        <v>809</v>
      </c>
      <c r="C51" s="758" t="s">
        <v>810</v>
      </c>
      <c r="D51" s="759" t="s">
        <v>811</v>
      </c>
      <c r="E51" s="756">
        <v>600</v>
      </c>
      <c r="F51" s="246"/>
    </row>
    <row r="52" spans="2:6" x14ac:dyDescent="0.25">
      <c r="B52" s="660" t="s">
        <v>812</v>
      </c>
      <c r="C52" s="680" t="s">
        <v>813</v>
      </c>
      <c r="D52" s="681" t="s">
        <v>814</v>
      </c>
      <c r="E52" s="721">
        <v>450</v>
      </c>
      <c r="F52" s="246"/>
    </row>
    <row r="53" spans="2:6" x14ac:dyDescent="0.25">
      <c r="B53" s="660" t="s">
        <v>815</v>
      </c>
      <c r="C53" s="680" t="s">
        <v>816</v>
      </c>
      <c r="D53" s="685" t="s">
        <v>817</v>
      </c>
      <c r="E53" s="722">
        <v>400</v>
      </c>
      <c r="F53" s="246"/>
    </row>
    <row r="54" spans="2:6" x14ac:dyDescent="0.25">
      <c r="B54" s="660" t="s">
        <v>818</v>
      </c>
      <c r="C54" s="680" t="s">
        <v>819</v>
      </c>
      <c r="D54" s="681" t="s">
        <v>820</v>
      </c>
      <c r="E54" s="722">
        <v>1450</v>
      </c>
      <c r="F54" s="246"/>
    </row>
    <row r="55" spans="2:6" x14ac:dyDescent="0.25">
      <c r="B55" s="660" t="s">
        <v>821</v>
      </c>
      <c r="C55" s="680" t="s">
        <v>822</v>
      </c>
      <c r="D55" s="685" t="s">
        <v>823</v>
      </c>
      <c r="E55" s="722">
        <v>1500</v>
      </c>
      <c r="F55" s="246"/>
    </row>
    <row r="56" spans="2:6" x14ac:dyDescent="0.25">
      <c r="B56" s="660" t="s">
        <v>824</v>
      </c>
      <c r="C56" s="680" t="s">
        <v>825</v>
      </c>
      <c r="D56" s="685" t="s">
        <v>826</v>
      </c>
      <c r="E56" s="722">
        <v>1300</v>
      </c>
      <c r="F56" s="246"/>
    </row>
    <row r="57" spans="2:6" x14ac:dyDescent="0.25">
      <c r="B57" s="660" t="s">
        <v>827</v>
      </c>
      <c r="C57" s="680" t="s">
        <v>828</v>
      </c>
      <c r="D57" s="685" t="s">
        <v>829</v>
      </c>
      <c r="E57" s="722">
        <v>1200</v>
      </c>
      <c r="F57" s="246"/>
    </row>
    <row r="58" spans="2:6" x14ac:dyDescent="0.25">
      <c r="B58" s="660" t="s">
        <v>830</v>
      </c>
      <c r="C58" s="680" t="s">
        <v>831</v>
      </c>
      <c r="D58" s="686" t="s">
        <v>832</v>
      </c>
      <c r="E58" s="721">
        <v>1250</v>
      </c>
      <c r="F58" s="246"/>
    </row>
    <row r="59" spans="2:6" x14ac:dyDescent="0.25">
      <c r="B59" s="660" t="s">
        <v>833</v>
      </c>
      <c r="C59" s="680" t="s">
        <v>834</v>
      </c>
      <c r="D59" s="684" t="s">
        <v>835</v>
      </c>
      <c r="E59" s="721">
        <v>1350</v>
      </c>
      <c r="F59" s="246"/>
    </row>
    <row r="60" spans="2:6" x14ac:dyDescent="0.25">
      <c r="B60" s="660" t="s">
        <v>836</v>
      </c>
      <c r="C60" s="680" t="s">
        <v>816</v>
      </c>
      <c r="D60" s="684" t="s">
        <v>837</v>
      </c>
      <c r="E60" s="721">
        <v>450</v>
      </c>
      <c r="F60" s="246"/>
    </row>
    <row r="61" spans="2:6" x14ac:dyDescent="0.25">
      <c r="B61" s="660" t="s">
        <v>838</v>
      </c>
      <c r="C61" s="680" t="s">
        <v>839</v>
      </c>
      <c r="D61" s="681" t="s">
        <v>840</v>
      </c>
      <c r="E61" s="722">
        <v>450</v>
      </c>
      <c r="F61" s="246"/>
    </row>
    <row r="62" spans="2:6" x14ac:dyDescent="0.25">
      <c r="B62" s="660" t="s">
        <v>841</v>
      </c>
      <c r="C62" s="680" t="s">
        <v>842</v>
      </c>
      <c r="D62" s="681" t="s">
        <v>843</v>
      </c>
      <c r="E62" s="722">
        <v>450</v>
      </c>
      <c r="F62" s="246"/>
    </row>
    <row r="63" spans="2:6" ht="26.25" x14ac:dyDescent="0.25">
      <c r="B63" s="660" t="s">
        <v>844</v>
      </c>
      <c r="C63" s="680" t="s">
        <v>845</v>
      </c>
      <c r="D63" s="683" t="s">
        <v>846</v>
      </c>
      <c r="E63" s="722">
        <v>200</v>
      </c>
      <c r="F63" s="246"/>
    </row>
    <row r="64" spans="2:6" x14ac:dyDescent="0.25">
      <c r="B64" s="660" t="s">
        <v>847</v>
      </c>
      <c r="C64" s="680" t="s">
        <v>848</v>
      </c>
      <c r="D64" s="681" t="s">
        <v>849</v>
      </c>
      <c r="E64" s="722">
        <v>450</v>
      </c>
      <c r="F64" s="246"/>
    </row>
    <row r="65" spans="2:6" x14ac:dyDescent="0.25">
      <c r="B65" s="660" t="s">
        <v>850</v>
      </c>
      <c r="C65" s="680" t="s">
        <v>851</v>
      </c>
      <c r="D65" s="685" t="s">
        <v>852</v>
      </c>
      <c r="E65" s="722">
        <v>400</v>
      </c>
      <c r="F65" s="246"/>
    </row>
    <row r="66" spans="2:6" x14ac:dyDescent="0.25">
      <c r="B66" s="660" t="s">
        <v>853</v>
      </c>
      <c r="C66" s="680" t="s">
        <v>851</v>
      </c>
      <c r="D66" s="685" t="s">
        <v>854</v>
      </c>
      <c r="E66" s="722">
        <v>750</v>
      </c>
      <c r="F66" s="246"/>
    </row>
    <row r="67" spans="2:6" x14ac:dyDescent="0.25">
      <c r="B67" s="660" t="s">
        <v>855</v>
      </c>
      <c r="C67" s="680" t="s">
        <v>856</v>
      </c>
      <c r="D67" s="684" t="s">
        <v>857</v>
      </c>
      <c r="E67" s="722">
        <v>1150</v>
      </c>
      <c r="F67" s="246"/>
    </row>
    <row r="68" spans="2:6" ht="25.5" x14ac:dyDescent="0.25">
      <c r="B68" s="660" t="s">
        <v>858</v>
      </c>
      <c r="C68" s="758" t="s">
        <v>859</v>
      </c>
      <c r="D68" s="760" t="s">
        <v>860</v>
      </c>
      <c r="E68" s="761">
        <v>950</v>
      </c>
      <c r="F68" s="246"/>
    </row>
    <row r="69" spans="2:6" ht="15.75" customHeight="1" x14ac:dyDescent="0.25">
      <c r="B69" s="660" t="s">
        <v>861</v>
      </c>
      <c r="C69" s="680" t="s">
        <v>862</v>
      </c>
      <c r="D69" s="681" t="s">
        <v>863</v>
      </c>
      <c r="E69" s="722">
        <v>750</v>
      </c>
      <c r="F69" s="246"/>
    </row>
    <row r="70" spans="2:6" x14ac:dyDescent="0.25">
      <c r="B70" s="660" t="s">
        <v>864</v>
      </c>
      <c r="C70" s="680" t="s">
        <v>865</v>
      </c>
      <c r="D70" s="680" t="s">
        <v>866</v>
      </c>
      <c r="E70" s="721">
        <v>900</v>
      </c>
      <c r="F70" s="246"/>
    </row>
    <row r="71" spans="2:6" ht="15.75" thickBot="1" x14ac:dyDescent="0.3">
      <c r="B71" s="575"/>
      <c r="C71" s="576" t="s">
        <v>9</v>
      </c>
      <c r="D71" s="577"/>
      <c r="E71" s="578">
        <v>90550</v>
      </c>
      <c r="F71" s="246"/>
    </row>
    <row r="72" spans="2:6" x14ac:dyDescent="0.25">
      <c r="C72" s="249"/>
    </row>
    <row r="73" spans="2:6" x14ac:dyDescent="0.25">
      <c r="C73" s="249"/>
    </row>
  </sheetData>
  <mergeCells count="3">
    <mergeCell ref="H4:S4"/>
    <mergeCell ref="D1:E1"/>
    <mergeCell ref="B2:E2"/>
  </mergeCells>
  <pageMargins left="0.31496062992126012" right="0.19685039370078702" top="0.27559055118110204" bottom="0.47244094488189015" header="0.15748031496063003" footer="0.31496062992126012"/>
  <pageSetup paperSize="9" scale="90" fitToWidth="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B1:E28"/>
  <sheetViews>
    <sheetView workbookViewId="0"/>
  </sheetViews>
  <sheetFormatPr defaultRowHeight="14.25" x14ac:dyDescent="0.2"/>
  <cols>
    <col min="1" max="1" width="9.140625" style="1" customWidth="1"/>
    <col min="2" max="2" width="6.28515625" style="1" customWidth="1"/>
    <col min="3" max="3" width="38.7109375" style="1" customWidth="1"/>
    <col min="4" max="4" width="42.140625" style="1" customWidth="1"/>
    <col min="5" max="5" width="10.7109375" style="51" customWidth="1"/>
    <col min="6" max="6" width="9.42578125" style="1" bestFit="1" customWidth="1"/>
    <col min="7" max="7" width="9.140625" style="1" customWidth="1"/>
    <col min="8" max="16384" width="9.140625" style="1"/>
  </cols>
  <sheetData>
    <row r="1" spans="2:5" customFormat="1" ht="15" x14ac:dyDescent="0.25">
      <c r="B1" s="1"/>
      <c r="C1" s="1"/>
      <c r="D1" s="1"/>
      <c r="E1" s="51"/>
    </row>
    <row r="2" spans="2:5" customFormat="1" ht="15" x14ac:dyDescent="0.25">
      <c r="B2" s="1"/>
      <c r="C2" s="1"/>
      <c r="D2" s="1"/>
      <c r="E2" s="218" t="s">
        <v>216</v>
      </c>
    </row>
    <row r="3" spans="2:5" customFormat="1" ht="15" x14ac:dyDescent="0.25">
      <c r="B3" s="250"/>
      <c r="C3" s="1"/>
      <c r="D3" s="1"/>
      <c r="E3" s="51"/>
    </row>
    <row r="4" spans="2:5" customFormat="1" ht="19.5" x14ac:dyDescent="0.3">
      <c r="B4" s="838" t="s">
        <v>558</v>
      </c>
      <c r="C4" s="838"/>
      <c r="D4" s="838"/>
      <c r="E4" s="838"/>
    </row>
    <row r="5" spans="2:5" customFormat="1" ht="15.75" thickBot="1" x14ac:dyDescent="0.3">
      <c r="B5" s="1"/>
      <c r="C5" s="1"/>
      <c r="D5" s="1"/>
      <c r="E5" s="251"/>
    </row>
    <row r="6" spans="2:5" s="67" customFormat="1" ht="35.25" customHeight="1" x14ac:dyDescent="0.25">
      <c r="B6" s="252" t="s">
        <v>200</v>
      </c>
      <c r="C6" s="3" t="s">
        <v>212</v>
      </c>
      <c r="D6" s="3" t="s">
        <v>213</v>
      </c>
      <c r="E6" s="253" t="s">
        <v>209</v>
      </c>
    </row>
    <row r="7" spans="2:5" s="67" customFormat="1" ht="33.75" customHeight="1" x14ac:dyDescent="0.25">
      <c r="B7" s="213">
        <v>1</v>
      </c>
      <c r="C7" s="254" t="s">
        <v>920</v>
      </c>
      <c r="D7" s="247" t="s">
        <v>921</v>
      </c>
      <c r="E7" s="255">
        <v>1000</v>
      </c>
    </row>
    <row r="8" spans="2:5" s="67" customFormat="1" ht="18" customHeight="1" x14ac:dyDescent="0.25">
      <c r="B8" s="213">
        <v>2</v>
      </c>
      <c r="C8" s="254" t="s">
        <v>922</v>
      </c>
      <c r="D8" s="247" t="s">
        <v>923</v>
      </c>
      <c r="E8" s="255">
        <v>900</v>
      </c>
    </row>
    <row r="9" spans="2:5" s="67" customFormat="1" ht="33" customHeight="1" x14ac:dyDescent="0.25">
      <c r="B9" s="213">
        <v>3</v>
      </c>
      <c r="C9" s="256" t="s">
        <v>924</v>
      </c>
      <c r="D9" s="247" t="s">
        <v>925</v>
      </c>
      <c r="E9" s="255">
        <v>1400</v>
      </c>
    </row>
    <row r="10" spans="2:5" s="67" customFormat="1" ht="15" customHeight="1" x14ac:dyDescent="0.25">
      <c r="B10" s="213">
        <v>4</v>
      </c>
      <c r="C10" s="254" t="s">
        <v>926</v>
      </c>
      <c r="D10" s="247" t="s">
        <v>927</v>
      </c>
      <c r="E10" s="255">
        <v>900</v>
      </c>
    </row>
    <row r="11" spans="2:5" s="67" customFormat="1" ht="19.149999999999999" customHeight="1" x14ac:dyDescent="0.25">
      <c r="B11" s="213">
        <v>5</v>
      </c>
      <c r="C11" s="254" t="s">
        <v>928</v>
      </c>
      <c r="D11" s="247" t="s">
        <v>929</v>
      </c>
      <c r="E11" s="255">
        <v>1000</v>
      </c>
    </row>
    <row r="12" spans="2:5" customFormat="1" ht="18" customHeight="1" x14ac:dyDescent="0.25">
      <c r="B12" s="213">
        <v>6</v>
      </c>
      <c r="C12" s="254" t="s">
        <v>930</v>
      </c>
      <c r="D12" s="247" t="s">
        <v>931</v>
      </c>
      <c r="E12" s="255">
        <v>1500</v>
      </c>
    </row>
    <row r="13" spans="2:5" customFormat="1" ht="27.75" customHeight="1" x14ac:dyDescent="0.25">
      <c r="B13" s="213">
        <v>7</v>
      </c>
      <c r="C13" s="256" t="s">
        <v>932</v>
      </c>
      <c r="D13" s="247" t="s">
        <v>933</v>
      </c>
      <c r="E13" s="255">
        <v>1400</v>
      </c>
    </row>
    <row r="14" spans="2:5" customFormat="1" ht="31.5" customHeight="1" x14ac:dyDescent="0.25">
      <c r="B14" s="213">
        <v>8</v>
      </c>
      <c r="C14" s="256" t="s">
        <v>934</v>
      </c>
      <c r="D14" s="247" t="s">
        <v>936</v>
      </c>
      <c r="E14" s="255">
        <v>1500</v>
      </c>
    </row>
    <row r="15" spans="2:5" customFormat="1" ht="21.75" customHeight="1" x14ac:dyDescent="0.25">
      <c r="B15" s="213">
        <v>9</v>
      </c>
      <c r="C15" s="256" t="s">
        <v>937</v>
      </c>
      <c r="D15" s="247" t="s">
        <v>935</v>
      </c>
      <c r="E15" s="255">
        <v>1300</v>
      </c>
    </row>
    <row r="16" spans="2:5" customFormat="1" ht="32.25" customHeight="1" x14ac:dyDescent="0.25">
      <c r="B16" s="213">
        <v>10</v>
      </c>
      <c r="C16" s="254" t="s">
        <v>938</v>
      </c>
      <c r="D16" s="247" t="s">
        <v>939</v>
      </c>
      <c r="E16" s="255">
        <v>1300</v>
      </c>
    </row>
    <row r="17" spans="2:5" customFormat="1" ht="28.5" customHeight="1" x14ac:dyDescent="0.25">
      <c r="B17" s="213">
        <v>11</v>
      </c>
      <c r="C17" s="254" t="s">
        <v>940</v>
      </c>
      <c r="D17" s="247" t="s">
        <v>941</v>
      </c>
      <c r="E17" s="255">
        <v>1200</v>
      </c>
    </row>
    <row r="18" spans="2:5" customFormat="1" ht="30" customHeight="1" x14ac:dyDescent="0.25">
      <c r="B18" s="213">
        <v>12</v>
      </c>
      <c r="C18" s="256" t="s">
        <v>942</v>
      </c>
      <c r="D18" s="247" t="s">
        <v>943</v>
      </c>
      <c r="E18" s="255">
        <v>1200</v>
      </c>
    </row>
    <row r="19" spans="2:5" customFormat="1" ht="28.5" customHeight="1" x14ac:dyDescent="0.25">
      <c r="B19" s="213">
        <v>13</v>
      </c>
      <c r="C19" s="254" t="s">
        <v>944</v>
      </c>
      <c r="D19" s="247" t="s">
        <v>945</v>
      </c>
      <c r="E19" s="255">
        <v>700</v>
      </c>
    </row>
    <row r="20" spans="2:5" customFormat="1" ht="15.75" customHeight="1" x14ac:dyDescent="0.25">
      <c r="B20" s="213">
        <v>14</v>
      </c>
      <c r="C20" s="254" t="s">
        <v>946</v>
      </c>
      <c r="D20" s="247" t="s">
        <v>947</v>
      </c>
      <c r="E20" s="255">
        <v>1400</v>
      </c>
    </row>
    <row r="21" spans="2:5" customFormat="1" ht="28.5" customHeight="1" x14ac:dyDescent="0.25">
      <c r="B21" s="213">
        <v>15</v>
      </c>
      <c r="C21" s="254" t="s">
        <v>948</v>
      </c>
      <c r="D21" s="247" t="s">
        <v>949</v>
      </c>
      <c r="E21" s="255">
        <v>400</v>
      </c>
    </row>
    <row r="22" spans="2:5" s="623" customFormat="1" ht="28.5" customHeight="1" x14ac:dyDescent="0.25">
      <c r="B22" s="213">
        <v>16</v>
      </c>
      <c r="C22" s="254" t="s">
        <v>950</v>
      </c>
      <c r="D22" s="256" t="s">
        <v>951</v>
      </c>
      <c r="E22" s="641">
        <v>500</v>
      </c>
    </row>
    <row r="23" spans="2:5" s="623" customFormat="1" ht="28.5" customHeight="1" x14ac:dyDescent="0.25">
      <c r="B23" s="213">
        <v>17</v>
      </c>
      <c r="C23" s="256" t="s">
        <v>952</v>
      </c>
      <c r="D23" s="256" t="s">
        <v>953</v>
      </c>
      <c r="E23" s="641">
        <v>1000</v>
      </c>
    </row>
    <row r="24" spans="2:5" s="623" customFormat="1" ht="28.5" customHeight="1" x14ac:dyDescent="0.25">
      <c r="B24" s="213">
        <v>18</v>
      </c>
      <c r="C24" s="256" t="s">
        <v>954</v>
      </c>
      <c r="D24" s="256" t="s">
        <v>955</v>
      </c>
      <c r="E24" s="641">
        <v>700</v>
      </c>
    </row>
    <row r="25" spans="2:5" s="623" customFormat="1" ht="28.5" customHeight="1" x14ac:dyDescent="0.25">
      <c r="B25" s="213">
        <v>19</v>
      </c>
      <c r="C25" s="254" t="s">
        <v>956</v>
      </c>
      <c r="D25" s="256" t="s">
        <v>957</v>
      </c>
      <c r="E25" s="641">
        <v>1200</v>
      </c>
    </row>
    <row r="26" spans="2:5" s="623" customFormat="1" ht="28.5" customHeight="1" x14ac:dyDescent="0.25">
      <c r="B26" s="213">
        <v>20</v>
      </c>
      <c r="C26" s="254" t="s">
        <v>958</v>
      </c>
      <c r="D26" s="256" t="s">
        <v>959</v>
      </c>
      <c r="E26" s="641">
        <v>300</v>
      </c>
    </row>
    <row r="27" spans="2:5" s="623" customFormat="1" ht="28.5" customHeight="1" x14ac:dyDescent="0.25">
      <c r="B27" s="213">
        <v>21</v>
      </c>
      <c r="C27" s="254" t="s">
        <v>960</v>
      </c>
      <c r="D27" s="256" t="s">
        <v>961</v>
      </c>
      <c r="E27" s="641">
        <v>1200</v>
      </c>
    </row>
    <row r="28" spans="2:5" s="67" customFormat="1" ht="24.75" customHeight="1" thickBot="1" x14ac:dyDescent="0.3">
      <c r="B28" s="257"/>
      <c r="C28" s="839" t="s">
        <v>9</v>
      </c>
      <c r="D28" s="839"/>
      <c r="E28" s="258">
        <f>SUM(E7:E27)</f>
        <v>22000</v>
      </c>
    </row>
  </sheetData>
  <mergeCells count="2">
    <mergeCell ref="B4:E4"/>
    <mergeCell ref="C28:D28"/>
  </mergeCells>
  <pageMargins left="0.39370078740157505" right="0.15748031496063003" top="1.023622047244094" bottom="0.98425196850393704" header="0.27559055118110198" footer="0.511811023622047"/>
  <pageSetup paperSize="9" scale="90" fitToWidth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B1:G27"/>
  <sheetViews>
    <sheetView workbookViewId="0"/>
  </sheetViews>
  <sheetFormatPr defaultRowHeight="14.25" x14ac:dyDescent="0.2"/>
  <cols>
    <col min="1" max="1" width="9.140625" style="1" customWidth="1"/>
    <col min="2" max="2" width="6" style="1" customWidth="1"/>
    <col min="3" max="4" width="35" style="1" customWidth="1"/>
    <col min="5" max="5" width="11.7109375" style="219" customWidth="1"/>
    <col min="6" max="6" width="9.140625" style="1" customWidth="1"/>
    <col min="7" max="16384" width="9.140625" style="1"/>
  </cols>
  <sheetData>
    <row r="1" spans="2:7" customFormat="1" ht="15" x14ac:dyDescent="0.25">
      <c r="B1" s="259"/>
      <c r="C1" s="259"/>
      <c r="D1" s="259"/>
      <c r="E1" s="260"/>
      <c r="F1" s="259"/>
      <c r="G1" s="259"/>
    </row>
    <row r="2" spans="2:7" customFormat="1" ht="15" x14ac:dyDescent="0.25">
      <c r="B2" s="259"/>
      <c r="C2" s="259"/>
      <c r="D2" s="259"/>
      <c r="E2" s="260"/>
      <c r="F2" s="259"/>
      <c r="G2" s="259"/>
    </row>
    <row r="3" spans="2:7" customFormat="1" ht="15" x14ac:dyDescent="0.25">
      <c r="B3" s="259"/>
      <c r="C3" s="259"/>
      <c r="D3" s="259"/>
      <c r="E3" s="261" t="s">
        <v>217</v>
      </c>
      <c r="F3" s="259"/>
      <c r="G3" s="259"/>
    </row>
    <row r="4" spans="2:7" customFormat="1" ht="15" x14ac:dyDescent="0.25">
      <c r="B4" s="259"/>
      <c r="C4" s="259"/>
      <c r="D4" s="259"/>
      <c r="E4" s="260"/>
      <c r="F4" s="259"/>
      <c r="G4" s="259"/>
    </row>
    <row r="5" spans="2:7" customFormat="1" ht="19.5" x14ac:dyDescent="0.25">
      <c r="B5" s="840" t="s">
        <v>559</v>
      </c>
      <c r="C5" s="840"/>
      <c r="D5" s="840"/>
      <c r="E5" s="840"/>
      <c r="F5" s="259"/>
      <c r="G5" s="259"/>
    </row>
    <row r="6" spans="2:7" customFormat="1" ht="15.75" thickBot="1" x14ac:dyDescent="0.3">
      <c r="B6" s="262"/>
      <c r="C6" s="259"/>
      <c r="D6" s="259"/>
      <c r="E6" s="263"/>
      <c r="F6" s="259"/>
      <c r="G6" s="259"/>
    </row>
    <row r="7" spans="2:7" customFormat="1" ht="30" x14ac:dyDescent="0.25">
      <c r="B7" s="264" t="s">
        <v>200</v>
      </c>
      <c r="C7" s="265" t="s">
        <v>218</v>
      </c>
      <c r="D7" s="266" t="s">
        <v>213</v>
      </c>
      <c r="E7" s="267" t="s">
        <v>209</v>
      </c>
      <c r="F7" s="259"/>
      <c r="G7" s="268"/>
    </row>
    <row r="8" spans="2:7" s="67" customFormat="1" ht="25.5" x14ac:dyDescent="0.25">
      <c r="B8" s="269">
        <v>1</v>
      </c>
      <c r="C8" s="607" t="s">
        <v>876</v>
      </c>
      <c r="D8" s="608" t="s">
        <v>877</v>
      </c>
      <c r="E8" s="615">
        <v>400</v>
      </c>
      <c r="F8" s="270"/>
      <c r="G8" s="270"/>
    </row>
    <row r="9" spans="2:7" s="67" customFormat="1" ht="25.5" x14ac:dyDescent="0.25">
      <c r="B9" s="269">
        <v>2</v>
      </c>
      <c r="C9" s="609" t="s">
        <v>878</v>
      </c>
      <c r="D9" s="610" t="s">
        <v>879</v>
      </c>
      <c r="E9" s="616">
        <v>430</v>
      </c>
      <c r="F9" s="270"/>
      <c r="G9" s="270"/>
    </row>
    <row r="10" spans="2:7" s="67" customFormat="1" ht="37.5" customHeight="1" x14ac:dyDescent="0.25">
      <c r="B10" s="269">
        <v>3</v>
      </c>
      <c r="C10" s="609" t="s">
        <v>880</v>
      </c>
      <c r="D10" s="611" t="s">
        <v>881</v>
      </c>
      <c r="E10" s="617">
        <v>483</v>
      </c>
      <c r="F10" s="270"/>
      <c r="G10" s="270"/>
    </row>
    <row r="11" spans="2:7" s="67" customFormat="1" ht="25.5" x14ac:dyDescent="0.25">
      <c r="B11" s="269">
        <v>4</v>
      </c>
      <c r="C11" s="609" t="s">
        <v>882</v>
      </c>
      <c r="D11" s="610" t="s">
        <v>883</v>
      </c>
      <c r="E11" s="617">
        <v>465</v>
      </c>
      <c r="F11" s="270"/>
      <c r="G11" s="270"/>
    </row>
    <row r="12" spans="2:7" s="67" customFormat="1" ht="42" customHeight="1" x14ac:dyDescent="0.25">
      <c r="B12" s="269">
        <v>5</v>
      </c>
      <c r="C12" s="609" t="s">
        <v>884</v>
      </c>
      <c r="D12" s="610" t="s">
        <v>885</v>
      </c>
      <c r="E12" s="618">
        <v>492</v>
      </c>
      <c r="F12" s="270"/>
      <c r="G12" s="270"/>
    </row>
    <row r="13" spans="2:7" s="67" customFormat="1" x14ac:dyDescent="0.25">
      <c r="B13" s="269">
        <v>6</v>
      </c>
      <c r="C13" s="609" t="s">
        <v>886</v>
      </c>
      <c r="D13" s="610" t="s">
        <v>887</v>
      </c>
      <c r="E13" s="618">
        <v>378</v>
      </c>
      <c r="F13" s="270"/>
      <c r="G13" s="270"/>
    </row>
    <row r="14" spans="2:7" s="67" customFormat="1" x14ac:dyDescent="0.25">
      <c r="B14" s="269">
        <v>7</v>
      </c>
      <c r="C14" s="609" t="s">
        <v>888</v>
      </c>
      <c r="D14" s="611" t="s">
        <v>889</v>
      </c>
      <c r="E14" s="618">
        <v>459</v>
      </c>
      <c r="F14" s="270"/>
      <c r="G14" s="270"/>
    </row>
    <row r="15" spans="2:7" s="67" customFormat="1" ht="25.5" x14ac:dyDescent="0.25">
      <c r="B15" s="269">
        <v>8</v>
      </c>
      <c r="C15" s="609" t="s">
        <v>890</v>
      </c>
      <c r="D15" s="611" t="s">
        <v>891</v>
      </c>
      <c r="E15" s="619">
        <v>465</v>
      </c>
      <c r="F15" s="270"/>
      <c r="G15" s="270"/>
    </row>
    <row r="16" spans="2:7" s="67" customFormat="1" ht="25.5" x14ac:dyDescent="0.25">
      <c r="B16" s="269">
        <v>9</v>
      </c>
      <c r="C16" s="609" t="s">
        <v>892</v>
      </c>
      <c r="D16" s="612" t="s">
        <v>893</v>
      </c>
      <c r="E16" s="615">
        <v>439</v>
      </c>
      <c r="F16" s="270"/>
      <c r="G16" s="270"/>
    </row>
    <row r="17" spans="2:5" s="67" customFormat="1" ht="25.5" x14ac:dyDescent="0.25">
      <c r="B17" s="269">
        <v>10</v>
      </c>
      <c r="C17" s="609" t="s">
        <v>894</v>
      </c>
      <c r="D17" s="612" t="s">
        <v>895</v>
      </c>
      <c r="E17" s="615">
        <v>437</v>
      </c>
    </row>
    <row r="18" spans="2:5" s="67" customFormat="1" x14ac:dyDescent="0.25">
      <c r="B18" s="269">
        <v>11</v>
      </c>
      <c r="C18" s="609" t="s">
        <v>896</v>
      </c>
      <c r="D18" s="612" t="s">
        <v>897</v>
      </c>
      <c r="E18" s="615">
        <v>438</v>
      </c>
    </row>
    <row r="19" spans="2:5" s="67" customFormat="1" ht="25.5" x14ac:dyDescent="0.25">
      <c r="B19" s="269">
        <v>12</v>
      </c>
      <c r="C19" s="609" t="s">
        <v>898</v>
      </c>
      <c r="D19" s="612" t="s">
        <v>899</v>
      </c>
      <c r="E19" s="618">
        <v>459</v>
      </c>
    </row>
    <row r="20" spans="2:5" s="67" customFormat="1" ht="25.5" x14ac:dyDescent="0.25">
      <c r="B20" s="269">
        <v>13</v>
      </c>
      <c r="C20" s="609" t="s">
        <v>900</v>
      </c>
      <c r="D20" s="612" t="s">
        <v>901</v>
      </c>
      <c r="E20" s="615">
        <v>447</v>
      </c>
    </row>
    <row r="21" spans="2:5" s="67" customFormat="1" x14ac:dyDescent="0.25">
      <c r="B21" s="269">
        <v>14</v>
      </c>
      <c r="C21" s="609" t="s">
        <v>902</v>
      </c>
      <c r="D21" s="612" t="s">
        <v>903</v>
      </c>
      <c r="E21" s="615">
        <v>423</v>
      </c>
    </row>
    <row r="22" spans="2:5" s="67" customFormat="1" ht="25.5" x14ac:dyDescent="0.25">
      <c r="B22" s="269">
        <v>15</v>
      </c>
      <c r="C22" s="609" t="s">
        <v>904</v>
      </c>
      <c r="D22" s="612" t="s">
        <v>905</v>
      </c>
      <c r="E22" s="615">
        <v>470</v>
      </c>
    </row>
    <row r="23" spans="2:5" s="67" customFormat="1" x14ac:dyDescent="0.25">
      <c r="B23" s="269">
        <v>16</v>
      </c>
      <c r="C23" s="609" t="s">
        <v>906</v>
      </c>
      <c r="D23" s="611" t="s">
        <v>907</v>
      </c>
      <c r="E23" s="620">
        <v>400</v>
      </c>
    </row>
    <row r="24" spans="2:5" s="67" customFormat="1" ht="25.5" x14ac:dyDescent="0.25">
      <c r="B24" s="269">
        <v>17</v>
      </c>
      <c r="C24" s="609" t="s">
        <v>908</v>
      </c>
      <c r="D24" s="611" t="s">
        <v>909</v>
      </c>
      <c r="E24" s="618">
        <v>464</v>
      </c>
    </row>
    <row r="25" spans="2:5" s="67" customFormat="1" ht="25.5" x14ac:dyDescent="0.25">
      <c r="B25" s="269">
        <v>18</v>
      </c>
      <c r="C25" s="609" t="s">
        <v>910</v>
      </c>
      <c r="D25" s="613" t="s">
        <v>911</v>
      </c>
      <c r="E25" s="621">
        <v>480</v>
      </c>
    </row>
    <row r="26" spans="2:5" s="67" customFormat="1" x14ac:dyDescent="0.25">
      <c r="B26" s="606">
        <v>19</v>
      </c>
      <c r="C26" s="614" t="s">
        <v>912</v>
      </c>
      <c r="D26" s="610" t="s">
        <v>913</v>
      </c>
      <c r="E26" s="622">
        <v>378</v>
      </c>
    </row>
    <row r="27" spans="2:5" customFormat="1" ht="27" customHeight="1" thickBot="1" x14ac:dyDescent="0.3">
      <c r="B27" s="271"/>
      <c r="C27" s="841" t="s">
        <v>9</v>
      </c>
      <c r="D27" s="841"/>
      <c r="E27" s="272">
        <f>SUM(E8:E26)</f>
        <v>8407</v>
      </c>
    </row>
  </sheetData>
  <mergeCells count="2">
    <mergeCell ref="B5:E5"/>
    <mergeCell ref="C27:D27"/>
  </mergeCells>
  <pageMargins left="0.6100000000000001" right="0.52" top="0.75" bottom="0.75" header="0.30000000000000004" footer="0.30000000000000004"/>
  <pageSetup paperSize="9" fitToWidth="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G18"/>
  <sheetViews>
    <sheetView workbookViewId="0">
      <selection activeCell="B3" sqref="B3:E14"/>
    </sheetView>
  </sheetViews>
  <sheetFormatPr defaultRowHeight="14.25" x14ac:dyDescent="0.2"/>
  <cols>
    <col min="1" max="1" width="9.140625" style="1" customWidth="1"/>
    <col min="2" max="2" width="6" style="1" customWidth="1"/>
    <col min="3" max="4" width="35" style="1" customWidth="1"/>
    <col min="5" max="5" width="11.7109375" style="219" customWidth="1"/>
    <col min="6" max="6" width="9.140625" style="1" customWidth="1"/>
    <col min="7" max="16384" width="9.140625" style="1"/>
  </cols>
  <sheetData>
    <row r="1" spans="1:7" customFormat="1" ht="15" x14ac:dyDescent="0.25">
      <c r="A1" s="526"/>
      <c r="B1" s="527"/>
      <c r="C1" s="527"/>
      <c r="D1" s="527"/>
      <c r="E1" s="528"/>
      <c r="F1" s="527"/>
      <c r="G1" s="527"/>
    </row>
    <row r="2" spans="1:7" customFormat="1" ht="15" x14ac:dyDescent="0.25">
      <c r="A2" s="526"/>
      <c r="B2" s="527"/>
      <c r="C2" s="527"/>
      <c r="D2" s="527"/>
      <c r="E2" s="528"/>
      <c r="F2" s="527"/>
      <c r="G2" s="527"/>
    </row>
    <row r="3" spans="1:7" customFormat="1" ht="15" x14ac:dyDescent="0.25">
      <c r="A3" s="526"/>
      <c r="B3" s="527"/>
      <c r="C3" s="527"/>
      <c r="D3" s="527"/>
      <c r="E3" s="529" t="s">
        <v>219</v>
      </c>
      <c r="F3" s="527"/>
      <c r="G3" s="527"/>
    </row>
    <row r="4" spans="1:7" customFormat="1" ht="15" x14ac:dyDescent="0.25">
      <c r="A4" s="526"/>
      <c r="B4" s="527"/>
      <c r="C4" s="527"/>
      <c r="D4" s="527"/>
      <c r="E4" s="528"/>
      <c r="F4" s="527"/>
      <c r="G4" s="527"/>
    </row>
    <row r="5" spans="1:7" customFormat="1" ht="19.5" x14ac:dyDescent="0.25">
      <c r="A5" s="526"/>
      <c r="B5" s="842" t="s">
        <v>560</v>
      </c>
      <c r="C5" s="842"/>
      <c r="D5" s="842"/>
      <c r="E5" s="842"/>
      <c r="F5" s="527"/>
      <c r="G5" s="527"/>
    </row>
    <row r="6" spans="1:7" customFormat="1" ht="15.75" thickBot="1" x14ac:dyDescent="0.3">
      <c r="A6" s="526"/>
      <c r="B6" s="530"/>
      <c r="C6" s="527"/>
      <c r="D6" s="527"/>
      <c r="E6" s="531"/>
      <c r="F6" s="527"/>
      <c r="G6" s="527"/>
    </row>
    <row r="7" spans="1:7" customFormat="1" ht="30" x14ac:dyDescent="0.25">
      <c r="A7" s="526"/>
      <c r="B7" s="532" t="s">
        <v>200</v>
      </c>
      <c r="C7" s="533" t="s">
        <v>218</v>
      </c>
      <c r="D7" s="533" t="s">
        <v>213</v>
      </c>
      <c r="E7" s="534" t="s">
        <v>209</v>
      </c>
      <c r="F7" s="527"/>
      <c r="G7" s="535"/>
    </row>
    <row r="8" spans="1:7" ht="15" x14ac:dyDescent="0.25">
      <c r="B8" s="536">
        <v>1</v>
      </c>
      <c r="C8" s="537" t="s">
        <v>567</v>
      </c>
      <c r="D8" s="748" t="s">
        <v>1027</v>
      </c>
      <c r="E8" s="538">
        <v>791</v>
      </c>
      <c r="F8" s="539"/>
      <c r="G8" s="539"/>
    </row>
    <row r="9" spans="1:7" s="67" customFormat="1" ht="25.5" x14ac:dyDescent="0.25">
      <c r="B9" s="536">
        <v>2</v>
      </c>
      <c r="C9" s="547" t="s">
        <v>568</v>
      </c>
      <c r="D9" s="749" t="s">
        <v>1028</v>
      </c>
      <c r="E9" s="617">
        <v>966</v>
      </c>
      <c r="F9" s="541"/>
      <c r="G9" s="541"/>
    </row>
    <row r="10" spans="1:7" s="67" customFormat="1" ht="25.5" x14ac:dyDescent="0.25">
      <c r="B10" s="536">
        <v>3</v>
      </c>
      <c r="C10" s="542" t="s">
        <v>569</v>
      </c>
      <c r="D10" s="749" t="s">
        <v>1029</v>
      </c>
      <c r="E10" s="617">
        <v>788</v>
      </c>
      <c r="F10" s="541"/>
      <c r="G10" s="541"/>
    </row>
    <row r="11" spans="1:7" s="67" customFormat="1" x14ac:dyDescent="0.25">
      <c r="B11" s="536">
        <v>4</v>
      </c>
      <c r="C11" s="547" t="s">
        <v>570</v>
      </c>
      <c r="D11" s="749" t="s">
        <v>1030</v>
      </c>
      <c r="E11" s="617">
        <v>55</v>
      </c>
      <c r="F11" s="541"/>
      <c r="G11" s="541"/>
    </row>
    <row r="12" spans="1:7" customFormat="1" ht="27" customHeight="1" x14ac:dyDescent="0.25">
      <c r="A12" s="526"/>
      <c r="B12" s="536">
        <v>5</v>
      </c>
      <c r="C12" s="547" t="s">
        <v>571</v>
      </c>
      <c r="D12" s="749" t="s">
        <v>1031</v>
      </c>
      <c r="E12" s="617">
        <v>320</v>
      </c>
      <c r="F12" s="541"/>
      <c r="G12" s="541"/>
    </row>
    <row r="13" spans="1:7" x14ac:dyDescent="0.2">
      <c r="B13" s="536">
        <v>6</v>
      </c>
      <c r="C13" s="543" t="s">
        <v>572</v>
      </c>
      <c r="D13" s="749" t="s">
        <v>1032</v>
      </c>
      <c r="E13" s="617">
        <v>280</v>
      </c>
      <c r="F13" s="541"/>
      <c r="G13" s="541"/>
    </row>
    <row r="14" spans="1:7" customFormat="1" ht="16.5" thickBot="1" x14ac:dyDescent="0.3">
      <c r="A14" s="526"/>
      <c r="B14" s="544"/>
      <c r="C14" s="841" t="s">
        <v>9</v>
      </c>
      <c r="D14" s="841"/>
      <c r="E14" s="545">
        <v>3200</v>
      </c>
      <c r="F14" s="527"/>
      <c r="G14" s="527"/>
    </row>
    <row r="15" spans="1:7" customFormat="1" ht="15" x14ac:dyDescent="0.25">
      <c r="A15" s="526"/>
      <c r="B15" s="1"/>
      <c r="C15" s="1"/>
      <c r="D15" s="1"/>
      <c r="E15" s="219"/>
      <c r="F15" s="1"/>
      <c r="G15" s="1"/>
    </row>
    <row r="16" spans="1:7" customFormat="1" ht="15" x14ac:dyDescent="0.25">
      <c r="A16" s="526"/>
      <c r="B16" s="527"/>
      <c r="C16" s="539"/>
      <c r="D16" s="539"/>
      <c r="E16" s="539"/>
      <c r="F16" s="539"/>
      <c r="G16" s="539"/>
    </row>
    <row r="17" spans="2:7" x14ac:dyDescent="0.2">
      <c r="B17" s="540"/>
      <c r="C17" s="540"/>
      <c r="D17" s="540"/>
      <c r="E17" s="546"/>
      <c r="F17" s="540"/>
      <c r="G17" s="540"/>
    </row>
    <row r="18" spans="2:7" x14ac:dyDescent="0.2">
      <c r="B18" s="527"/>
      <c r="C18" s="540"/>
      <c r="D18" s="540"/>
      <c r="E18" s="546"/>
      <c r="F18" s="540"/>
      <c r="G18" s="540"/>
    </row>
  </sheetData>
  <mergeCells count="2">
    <mergeCell ref="B5:E5"/>
    <mergeCell ref="C14:D14"/>
  </mergeCells>
  <pageMargins left="0.511811023622047" right="0.511811023622047" top="0.74803149606299213" bottom="0.74803149606299213" header="0.31496062992126012" footer="0.31496062992126012"/>
  <pageSetup paperSize="9" fitToWidth="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B1:O26"/>
  <sheetViews>
    <sheetView workbookViewId="0"/>
  </sheetViews>
  <sheetFormatPr defaultRowHeight="14.25" x14ac:dyDescent="0.2"/>
  <cols>
    <col min="1" max="1" width="3.5703125" style="1" customWidth="1"/>
    <col min="2" max="2" width="42.85546875" style="1" customWidth="1"/>
    <col min="3" max="3" width="14.5703125" style="1" customWidth="1"/>
    <col min="4" max="4" width="13.28515625" style="1" customWidth="1"/>
    <col min="5" max="5" width="13.140625" style="1" customWidth="1"/>
    <col min="6" max="6" width="9.140625" style="1" customWidth="1"/>
    <col min="7" max="16384" width="9.140625" style="1"/>
  </cols>
  <sheetData>
    <row r="1" spans="2:15" x14ac:dyDescent="0.2">
      <c r="E1" s="193" t="s">
        <v>220</v>
      </c>
    </row>
    <row r="2" spans="2:15" x14ac:dyDescent="0.2">
      <c r="B2" s="27"/>
      <c r="C2" s="175"/>
      <c r="D2" s="175"/>
      <c r="F2" s="175"/>
      <c r="G2" s="175"/>
    </row>
    <row r="3" spans="2:15" ht="18" x14ac:dyDescent="0.25">
      <c r="B3" s="787" t="s">
        <v>562</v>
      </c>
      <c r="C3" s="787"/>
      <c r="D3" s="787"/>
      <c r="E3" s="787"/>
      <c r="F3" s="175"/>
      <c r="G3" s="175"/>
    </row>
    <row r="4" spans="2:15" ht="15" thickBot="1" x14ac:dyDescent="0.25">
      <c r="B4" s="27"/>
      <c r="C4" s="175"/>
      <c r="D4" s="175"/>
      <c r="E4" s="175"/>
      <c r="F4" s="175"/>
      <c r="G4" s="175"/>
    </row>
    <row r="5" spans="2:15" ht="15.75" thickBot="1" x14ac:dyDescent="0.3">
      <c r="B5" s="843" t="s">
        <v>21</v>
      </c>
      <c r="C5" s="844" t="s">
        <v>561</v>
      </c>
      <c r="D5" s="844" t="s">
        <v>221</v>
      </c>
      <c r="E5" s="273" t="s">
        <v>222</v>
      </c>
      <c r="F5" s="175"/>
      <c r="G5" s="27"/>
    </row>
    <row r="6" spans="2:15" ht="15" x14ac:dyDescent="0.25">
      <c r="B6" s="843"/>
      <c r="C6" s="844"/>
      <c r="D6" s="844"/>
      <c r="E6" s="274" t="s">
        <v>223</v>
      </c>
      <c r="F6" s="175"/>
      <c r="G6" s="27"/>
    </row>
    <row r="7" spans="2:15" ht="13.5" customHeight="1" x14ac:dyDescent="0.2">
      <c r="B7" s="275" t="s">
        <v>224</v>
      </c>
      <c r="C7" s="276">
        <v>838944.52</v>
      </c>
      <c r="D7" s="276">
        <v>787090.23</v>
      </c>
      <c r="E7" s="32">
        <f t="shared" ref="E7:E23" si="0">C7-D7</f>
        <v>51854.290000000037</v>
      </c>
      <c r="F7" s="175"/>
      <c r="G7" s="27"/>
    </row>
    <row r="8" spans="2:15" ht="14.25" customHeight="1" x14ac:dyDescent="0.2">
      <c r="B8" s="275" t="s">
        <v>225</v>
      </c>
      <c r="C8" s="276">
        <v>21744.41</v>
      </c>
      <c r="D8" s="276">
        <v>19906.189999999999</v>
      </c>
      <c r="E8" s="32">
        <f t="shared" si="0"/>
        <v>1838.2200000000012</v>
      </c>
      <c r="F8" s="175"/>
      <c r="G8" s="27"/>
    </row>
    <row r="9" spans="2:15" ht="17.25" customHeight="1" x14ac:dyDescent="0.2">
      <c r="B9" s="277" t="s">
        <v>226</v>
      </c>
      <c r="C9" s="278">
        <v>39.51</v>
      </c>
      <c r="D9" s="278">
        <v>-348.07</v>
      </c>
      <c r="E9" s="121">
        <f t="shared" si="0"/>
        <v>387.58</v>
      </c>
      <c r="F9" s="175"/>
      <c r="G9" s="27"/>
    </row>
    <row r="10" spans="2:15" ht="12.75" customHeight="1" x14ac:dyDescent="0.2">
      <c r="B10" s="275" t="s">
        <v>227</v>
      </c>
      <c r="C10" s="276">
        <v>242.31</v>
      </c>
      <c r="D10" s="276">
        <v>242.27</v>
      </c>
      <c r="E10" s="32">
        <f t="shared" si="0"/>
        <v>3.9999999999992042E-2</v>
      </c>
      <c r="F10" s="175"/>
      <c r="G10" s="27"/>
      <c r="O10" s="27"/>
    </row>
    <row r="11" spans="2:15" x14ac:dyDescent="0.2">
      <c r="B11" s="275" t="s">
        <v>228</v>
      </c>
      <c r="C11" s="276">
        <v>61529.11</v>
      </c>
      <c r="D11" s="276">
        <v>8017.25</v>
      </c>
      <c r="E11" s="32">
        <f t="shared" si="0"/>
        <v>53511.86</v>
      </c>
      <c r="F11" s="175"/>
      <c r="G11" s="27"/>
    </row>
    <row r="12" spans="2:15" x14ac:dyDescent="0.2">
      <c r="B12" s="275" t="s">
        <v>229</v>
      </c>
      <c r="C12" s="276">
        <v>0</v>
      </c>
      <c r="D12" s="276">
        <v>-26.54</v>
      </c>
      <c r="E12" s="32">
        <f t="shared" si="0"/>
        <v>26.54</v>
      </c>
      <c r="F12" s="175"/>
      <c r="G12" s="27"/>
    </row>
    <row r="13" spans="2:15" x14ac:dyDescent="0.2">
      <c r="B13" s="275" t="s">
        <v>230</v>
      </c>
      <c r="C13" s="276">
        <v>32196.5</v>
      </c>
      <c r="D13" s="276">
        <v>33800.5</v>
      </c>
      <c r="E13" s="32">
        <f t="shared" si="0"/>
        <v>-1604</v>
      </c>
      <c r="F13" s="175"/>
      <c r="G13" s="27"/>
    </row>
    <row r="14" spans="2:15" ht="15" customHeight="1" x14ac:dyDescent="0.2">
      <c r="B14" s="275" t="s">
        <v>231</v>
      </c>
      <c r="C14" s="276">
        <v>1476410.18</v>
      </c>
      <c r="D14" s="276">
        <v>1534215.94</v>
      </c>
      <c r="E14" s="32">
        <f t="shared" si="0"/>
        <v>-57805.760000000009</v>
      </c>
      <c r="F14" s="175"/>
      <c r="G14" s="27"/>
    </row>
    <row r="15" spans="2:15" ht="14.25" customHeight="1" x14ac:dyDescent="0.2">
      <c r="B15" s="275" t="s">
        <v>232</v>
      </c>
      <c r="C15" s="276">
        <v>588021.93999999994</v>
      </c>
      <c r="D15" s="276">
        <v>617658.4</v>
      </c>
      <c r="E15" s="32">
        <f t="shared" si="0"/>
        <v>-29636.460000000079</v>
      </c>
      <c r="F15" s="175"/>
      <c r="G15" s="27"/>
    </row>
    <row r="16" spans="2:15" x14ac:dyDescent="0.2">
      <c r="B16" s="277" t="s">
        <v>233</v>
      </c>
      <c r="C16" s="278">
        <v>107190.04</v>
      </c>
      <c r="D16" s="278">
        <v>114722.13</v>
      </c>
      <c r="E16" s="121">
        <f t="shared" si="0"/>
        <v>-7532.0900000000111</v>
      </c>
      <c r="F16" s="175"/>
      <c r="G16" s="27"/>
    </row>
    <row r="17" spans="2:7" ht="13.5" customHeight="1" x14ac:dyDescent="0.2">
      <c r="B17" s="275" t="s">
        <v>234</v>
      </c>
      <c r="C17" s="276">
        <v>81354.009999999995</v>
      </c>
      <c r="D17" s="276">
        <v>77787.7</v>
      </c>
      <c r="E17" s="32">
        <f t="shared" si="0"/>
        <v>3566.3099999999977</v>
      </c>
      <c r="F17" s="175"/>
      <c r="G17" s="27"/>
    </row>
    <row r="18" spans="2:7" ht="15" customHeight="1" x14ac:dyDescent="0.2">
      <c r="B18" s="275" t="s">
        <v>235</v>
      </c>
      <c r="C18" s="276">
        <v>345.79</v>
      </c>
      <c r="D18" s="276">
        <v>325.79000000000002</v>
      </c>
      <c r="E18" s="32">
        <f t="shared" si="0"/>
        <v>20</v>
      </c>
      <c r="F18" s="175"/>
      <c r="G18" s="27"/>
    </row>
    <row r="19" spans="2:7" ht="14.25" customHeight="1" x14ac:dyDescent="0.2">
      <c r="B19" s="275" t="s">
        <v>236</v>
      </c>
      <c r="C19" s="276">
        <v>1297.76</v>
      </c>
      <c r="D19" s="276">
        <v>220.77</v>
      </c>
      <c r="E19" s="32">
        <f t="shared" si="0"/>
        <v>1076.99</v>
      </c>
      <c r="F19" s="175"/>
      <c r="G19" s="27"/>
    </row>
    <row r="20" spans="2:7" ht="14.25" customHeight="1" x14ac:dyDescent="0.2">
      <c r="B20" s="279" t="s">
        <v>237</v>
      </c>
      <c r="C20" s="280">
        <v>105513.88</v>
      </c>
      <c r="D20" s="280">
        <v>103354.81</v>
      </c>
      <c r="E20" s="32">
        <f t="shared" si="0"/>
        <v>2159.070000000007</v>
      </c>
      <c r="F20" s="175"/>
      <c r="G20" s="27"/>
    </row>
    <row r="21" spans="2:7" ht="14.25" customHeight="1" x14ac:dyDescent="0.2">
      <c r="B21" s="279" t="s">
        <v>238</v>
      </c>
      <c r="C21" s="280">
        <v>24364.3</v>
      </c>
      <c r="D21" s="280">
        <v>6873.52</v>
      </c>
      <c r="E21" s="32">
        <f t="shared" si="0"/>
        <v>17490.78</v>
      </c>
      <c r="F21" s="175"/>
      <c r="G21" s="27"/>
    </row>
    <row r="22" spans="2:7" ht="15" customHeight="1" thickBot="1" x14ac:dyDescent="0.25">
      <c r="B22" s="279" t="s">
        <v>239</v>
      </c>
      <c r="C22" s="280">
        <v>202834.89</v>
      </c>
      <c r="D22" s="280">
        <v>242778.98</v>
      </c>
      <c r="E22" s="281">
        <f t="shared" si="0"/>
        <v>-39944.089999999997</v>
      </c>
      <c r="F22" s="175"/>
      <c r="G22" s="27"/>
    </row>
    <row r="23" spans="2:7" s="67" customFormat="1" ht="27.75" customHeight="1" thickTop="1" thickBot="1" x14ac:dyDescent="0.3">
      <c r="B23" s="282" t="s">
        <v>125</v>
      </c>
      <c r="C23" s="283">
        <f>SUM(C7:C22)</f>
        <v>3542029.1499999994</v>
      </c>
      <c r="D23" s="106">
        <f>SUM(D7:D22)</f>
        <v>3546619.87</v>
      </c>
      <c r="E23" s="91">
        <f t="shared" si="0"/>
        <v>-4590.7200000006706</v>
      </c>
      <c r="F23" s="284"/>
      <c r="G23" s="127"/>
    </row>
    <row r="25" spans="2:7" ht="33" customHeight="1" x14ac:dyDescent="0.25">
      <c r="B25" s="829"/>
      <c r="C25" s="829"/>
      <c r="D25" s="829"/>
      <c r="E25" s="829"/>
      <c r="F25" s="175"/>
      <c r="G25" s="175"/>
    </row>
    <row r="26" spans="2:7" x14ac:dyDescent="0.2">
      <c r="B26" s="27"/>
      <c r="C26" s="175"/>
      <c r="D26" s="175"/>
      <c r="E26" s="175"/>
      <c r="F26" s="175"/>
      <c r="G26" s="27"/>
    </row>
  </sheetData>
  <mergeCells count="5">
    <mergeCell ref="B3:E3"/>
    <mergeCell ref="B5:B6"/>
    <mergeCell ref="C5:C6"/>
    <mergeCell ref="D5:D6"/>
    <mergeCell ref="B25:E25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2:J50"/>
  <sheetViews>
    <sheetView workbookViewId="0"/>
  </sheetViews>
  <sheetFormatPr defaultRowHeight="12" x14ac:dyDescent="0.2"/>
  <cols>
    <col min="1" max="1" width="11.7109375" style="220" customWidth="1"/>
    <col min="2" max="2" width="22.42578125" style="42" customWidth="1"/>
    <col min="3" max="3" width="17.5703125" style="220" customWidth="1"/>
    <col min="4" max="4" width="11.5703125" style="285" customWidth="1"/>
    <col min="5" max="5" width="14.5703125" style="285" customWidth="1"/>
    <col min="6" max="6" width="18.42578125" style="285" customWidth="1"/>
    <col min="7" max="7" width="13.85546875" style="285" customWidth="1"/>
    <col min="8" max="8" width="12.5703125" style="285" customWidth="1"/>
    <col min="9" max="9" width="11.5703125" style="286" customWidth="1"/>
    <col min="10" max="10" width="18.28515625" style="42" customWidth="1"/>
    <col min="11" max="235" width="9.140625" style="42" customWidth="1"/>
    <col min="236" max="236" width="11.7109375" style="42" customWidth="1"/>
    <col min="237" max="237" width="16.7109375" style="42" customWidth="1"/>
    <col min="238" max="238" width="14.42578125" style="42" customWidth="1"/>
    <col min="239" max="239" width="13.140625" style="42" customWidth="1"/>
    <col min="240" max="240" width="13.28515625" style="42" customWidth="1"/>
    <col min="241" max="241" width="11.85546875" style="42" customWidth="1"/>
    <col min="242" max="242" width="16" style="42" customWidth="1"/>
    <col min="243" max="243" width="12" style="42" customWidth="1"/>
    <col min="244" max="244" width="11.5703125" style="42" customWidth="1"/>
    <col min="245" max="245" width="11.7109375" style="42" customWidth="1"/>
    <col min="246" max="246" width="17.5703125" style="42" customWidth="1"/>
    <col min="247" max="247" width="6.42578125" style="42" customWidth="1"/>
    <col min="248" max="248" width="29.28515625" style="42" customWidth="1"/>
    <col min="249" max="249" width="18.85546875" style="42" customWidth="1"/>
    <col min="250" max="491" width="9.140625" style="42" customWidth="1"/>
    <col min="492" max="492" width="11.7109375" style="42" customWidth="1"/>
    <col min="493" max="493" width="16.7109375" style="42" customWidth="1"/>
    <col min="494" max="494" width="14.42578125" style="42" customWidth="1"/>
    <col min="495" max="495" width="13.140625" style="42" customWidth="1"/>
    <col min="496" max="496" width="13.28515625" style="42" customWidth="1"/>
    <col min="497" max="497" width="11.85546875" style="42" customWidth="1"/>
    <col min="498" max="498" width="16" style="42" customWidth="1"/>
    <col min="499" max="499" width="12" style="42" customWidth="1"/>
    <col min="500" max="500" width="11.5703125" style="42" customWidth="1"/>
    <col min="501" max="501" width="11.7109375" style="42" customWidth="1"/>
    <col min="502" max="502" width="17.5703125" style="42" customWidth="1"/>
    <col min="503" max="503" width="6.42578125" style="42" customWidth="1"/>
    <col min="504" max="504" width="29.28515625" style="42" customWidth="1"/>
    <col min="505" max="505" width="18.85546875" style="42" customWidth="1"/>
    <col min="506" max="747" width="9.140625" style="42" customWidth="1"/>
    <col min="748" max="748" width="11.7109375" style="42" customWidth="1"/>
    <col min="749" max="749" width="16.7109375" style="42" customWidth="1"/>
    <col min="750" max="750" width="14.42578125" style="42" customWidth="1"/>
    <col min="751" max="751" width="13.140625" style="42" customWidth="1"/>
    <col min="752" max="752" width="13.28515625" style="42" customWidth="1"/>
    <col min="753" max="753" width="11.85546875" style="42" customWidth="1"/>
    <col min="754" max="754" width="16" style="42" customWidth="1"/>
    <col min="755" max="755" width="12" style="42" customWidth="1"/>
    <col min="756" max="756" width="11.5703125" style="42" customWidth="1"/>
    <col min="757" max="757" width="11.7109375" style="42" customWidth="1"/>
    <col min="758" max="758" width="17.5703125" style="42" customWidth="1"/>
    <col min="759" max="759" width="6.42578125" style="42" customWidth="1"/>
    <col min="760" max="760" width="29.28515625" style="42" customWidth="1"/>
    <col min="761" max="761" width="18.85546875" style="42" customWidth="1"/>
    <col min="762" max="1003" width="9.140625" style="42" customWidth="1"/>
    <col min="1004" max="1004" width="11.7109375" style="42" customWidth="1"/>
    <col min="1005" max="1005" width="16.7109375" style="42" customWidth="1"/>
    <col min="1006" max="1006" width="14.42578125" style="42" customWidth="1"/>
    <col min="1007" max="1007" width="13.140625" style="42" customWidth="1"/>
    <col min="1008" max="1008" width="13.28515625" style="42" customWidth="1"/>
    <col min="1009" max="1009" width="11.85546875" style="42" customWidth="1"/>
    <col min="1010" max="1010" width="16" style="42" customWidth="1"/>
    <col min="1011" max="1011" width="12" style="42" customWidth="1"/>
    <col min="1012" max="1012" width="11.5703125" style="42" customWidth="1"/>
    <col min="1013" max="1013" width="11.7109375" style="42" customWidth="1"/>
    <col min="1014" max="1014" width="17.5703125" style="42" customWidth="1"/>
    <col min="1015" max="1015" width="6.42578125" style="42" customWidth="1"/>
    <col min="1016" max="1016" width="29.28515625" style="42" customWidth="1"/>
    <col min="1017" max="1017" width="18.85546875" style="42" customWidth="1"/>
    <col min="1018" max="1259" width="9.140625" style="42" customWidth="1"/>
    <col min="1260" max="1260" width="11.7109375" style="42" customWidth="1"/>
    <col min="1261" max="1261" width="16.7109375" style="42" customWidth="1"/>
    <col min="1262" max="1262" width="14.42578125" style="42" customWidth="1"/>
    <col min="1263" max="1263" width="13.140625" style="42" customWidth="1"/>
    <col min="1264" max="1264" width="13.28515625" style="42" customWidth="1"/>
    <col min="1265" max="1265" width="11.85546875" style="42" customWidth="1"/>
    <col min="1266" max="1266" width="16" style="42" customWidth="1"/>
    <col min="1267" max="1267" width="12" style="42" customWidth="1"/>
    <col min="1268" max="1268" width="11.5703125" style="42" customWidth="1"/>
    <col min="1269" max="1269" width="11.7109375" style="42" customWidth="1"/>
    <col min="1270" max="1270" width="17.5703125" style="42" customWidth="1"/>
    <col min="1271" max="1271" width="6.42578125" style="42" customWidth="1"/>
    <col min="1272" max="1272" width="29.28515625" style="42" customWidth="1"/>
    <col min="1273" max="1273" width="18.85546875" style="42" customWidth="1"/>
    <col min="1274" max="1515" width="9.140625" style="42" customWidth="1"/>
    <col min="1516" max="1516" width="11.7109375" style="42" customWidth="1"/>
    <col min="1517" max="1517" width="16.7109375" style="42" customWidth="1"/>
    <col min="1518" max="1518" width="14.42578125" style="42" customWidth="1"/>
    <col min="1519" max="1519" width="13.140625" style="42" customWidth="1"/>
    <col min="1520" max="1520" width="13.28515625" style="42" customWidth="1"/>
    <col min="1521" max="1521" width="11.85546875" style="42" customWidth="1"/>
    <col min="1522" max="1522" width="16" style="42" customWidth="1"/>
    <col min="1523" max="1523" width="12" style="42" customWidth="1"/>
    <col min="1524" max="1524" width="11.5703125" style="42" customWidth="1"/>
    <col min="1525" max="1525" width="11.7109375" style="42" customWidth="1"/>
    <col min="1526" max="1526" width="17.5703125" style="42" customWidth="1"/>
    <col min="1527" max="1527" width="6.42578125" style="42" customWidth="1"/>
    <col min="1528" max="1528" width="29.28515625" style="42" customWidth="1"/>
    <col min="1529" max="1529" width="18.85546875" style="42" customWidth="1"/>
    <col min="1530" max="1771" width="9.140625" style="42" customWidth="1"/>
    <col min="1772" max="1772" width="11.7109375" style="42" customWidth="1"/>
    <col min="1773" max="1773" width="16.7109375" style="42" customWidth="1"/>
    <col min="1774" max="1774" width="14.42578125" style="42" customWidth="1"/>
    <col min="1775" max="1775" width="13.140625" style="42" customWidth="1"/>
    <col min="1776" max="1776" width="13.28515625" style="42" customWidth="1"/>
    <col min="1777" max="1777" width="11.85546875" style="42" customWidth="1"/>
    <col min="1778" max="1778" width="16" style="42" customWidth="1"/>
    <col min="1779" max="1779" width="12" style="42" customWidth="1"/>
    <col min="1780" max="1780" width="11.5703125" style="42" customWidth="1"/>
    <col min="1781" max="1781" width="11.7109375" style="42" customWidth="1"/>
    <col min="1782" max="1782" width="17.5703125" style="42" customWidth="1"/>
    <col min="1783" max="1783" width="6.42578125" style="42" customWidth="1"/>
    <col min="1784" max="1784" width="29.28515625" style="42" customWidth="1"/>
    <col min="1785" max="1785" width="18.85546875" style="42" customWidth="1"/>
    <col min="1786" max="2027" width="9.140625" style="42" customWidth="1"/>
    <col min="2028" max="2028" width="11.7109375" style="42" customWidth="1"/>
    <col min="2029" max="2029" width="16.7109375" style="42" customWidth="1"/>
    <col min="2030" max="2030" width="14.42578125" style="42" customWidth="1"/>
    <col min="2031" max="2031" width="13.140625" style="42" customWidth="1"/>
    <col min="2032" max="2032" width="13.28515625" style="42" customWidth="1"/>
    <col min="2033" max="2033" width="11.85546875" style="42" customWidth="1"/>
    <col min="2034" max="2034" width="16" style="42" customWidth="1"/>
    <col min="2035" max="2035" width="12" style="42" customWidth="1"/>
    <col min="2036" max="2036" width="11.5703125" style="42" customWidth="1"/>
    <col min="2037" max="2037" width="11.7109375" style="42" customWidth="1"/>
    <col min="2038" max="2038" width="17.5703125" style="42" customWidth="1"/>
    <col min="2039" max="2039" width="6.42578125" style="42" customWidth="1"/>
    <col min="2040" max="2040" width="29.28515625" style="42" customWidth="1"/>
    <col min="2041" max="2041" width="18.85546875" style="42" customWidth="1"/>
    <col min="2042" max="2283" width="9.140625" style="42" customWidth="1"/>
    <col min="2284" max="2284" width="11.7109375" style="42" customWidth="1"/>
    <col min="2285" max="2285" width="16.7109375" style="42" customWidth="1"/>
    <col min="2286" max="2286" width="14.42578125" style="42" customWidth="1"/>
    <col min="2287" max="2287" width="13.140625" style="42" customWidth="1"/>
    <col min="2288" max="2288" width="13.28515625" style="42" customWidth="1"/>
    <col min="2289" max="2289" width="11.85546875" style="42" customWidth="1"/>
    <col min="2290" max="2290" width="16" style="42" customWidth="1"/>
    <col min="2291" max="2291" width="12" style="42" customWidth="1"/>
    <col min="2292" max="2292" width="11.5703125" style="42" customWidth="1"/>
    <col min="2293" max="2293" width="11.7109375" style="42" customWidth="1"/>
    <col min="2294" max="2294" width="17.5703125" style="42" customWidth="1"/>
    <col min="2295" max="2295" width="6.42578125" style="42" customWidth="1"/>
    <col min="2296" max="2296" width="29.28515625" style="42" customWidth="1"/>
    <col min="2297" max="2297" width="18.85546875" style="42" customWidth="1"/>
    <col min="2298" max="2539" width="9.140625" style="42" customWidth="1"/>
    <col min="2540" max="2540" width="11.7109375" style="42" customWidth="1"/>
    <col min="2541" max="2541" width="16.7109375" style="42" customWidth="1"/>
    <col min="2542" max="2542" width="14.42578125" style="42" customWidth="1"/>
    <col min="2543" max="2543" width="13.140625" style="42" customWidth="1"/>
    <col min="2544" max="2544" width="13.28515625" style="42" customWidth="1"/>
    <col min="2545" max="2545" width="11.85546875" style="42" customWidth="1"/>
    <col min="2546" max="2546" width="16" style="42" customWidth="1"/>
    <col min="2547" max="2547" width="12" style="42" customWidth="1"/>
    <col min="2548" max="2548" width="11.5703125" style="42" customWidth="1"/>
    <col min="2549" max="2549" width="11.7109375" style="42" customWidth="1"/>
    <col min="2550" max="2550" width="17.5703125" style="42" customWidth="1"/>
    <col min="2551" max="2551" width="6.42578125" style="42" customWidth="1"/>
    <col min="2552" max="2552" width="29.28515625" style="42" customWidth="1"/>
    <col min="2553" max="2553" width="18.85546875" style="42" customWidth="1"/>
    <col min="2554" max="2795" width="9.140625" style="42" customWidth="1"/>
    <col min="2796" max="2796" width="11.7109375" style="42" customWidth="1"/>
    <col min="2797" max="2797" width="16.7109375" style="42" customWidth="1"/>
    <col min="2798" max="2798" width="14.42578125" style="42" customWidth="1"/>
    <col min="2799" max="2799" width="13.140625" style="42" customWidth="1"/>
    <col min="2800" max="2800" width="13.28515625" style="42" customWidth="1"/>
    <col min="2801" max="2801" width="11.85546875" style="42" customWidth="1"/>
    <col min="2802" max="2802" width="16" style="42" customWidth="1"/>
    <col min="2803" max="2803" width="12" style="42" customWidth="1"/>
    <col min="2804" max="2804" width="11.5703125" style="42" customWidth="1"/>
    <col min="2805" max="2805" width="11.7109375" style="42" customWidth="1"/>
    <col min="2806" max="2806" width="17.5703125" style="42" customWidth="1"/>
    <col min="2807" max="2807" width="6.42578125" style="42" customWidth="1"/>
    <col min="2808" max="2808" width="29.28515625" style="42" customWidth="1"/>
    <col min="2809" max="2809" width="18.85546875" style="42" customWidth="1"/>
    <col min="2810" max="3051" width="9.140625" style="42" customWidth="1"/>
    <col min="3052" max="3052" width="11.7109375" style="42" customWidth="1"/>
    <col min="3053" max="3053" width="16.7109375" style="42" customWidth="1"/>
    <col min="3054" max="3054" width="14.42578125" style="42" customWidth="1"/>
    <col min="3055" max="3055" width="13.140625" style="42" customWidth="1"/>
    <col min="3056" max="3056" width="13.28515625" style="42" customWidth="1"/>
    <col min="3057" max="3057" width="11.85546875" style="42" customWidth="1"/>
    <col min="3058" max="3058" width="16" style="42" customWidth="1"/>
    <col min="3059" max="3059" width="12" style="42" customWidth="1"/>
    <col min="3060" max="3060" width="11.5703125" style="42" customWidth="1"/>
    <col min="3061" max="3061" width="11.7109375" style="42" customWidth="1"/>
    <col min="3062" max="3062" width="17.5703125" style="42" customWidth="1"/>
    <col min="3063" max="3063" width="6.42578125" style="42" customWidth="1"/>
    <col min="3064" max="3064" width="29.28515625" style="42" customWidth="1"/>
    <col min="3065" max="3065" width="18.85546875" style="42" customWidth="1"/>
    <col min="3066" max="3307" width="9.140625" style="42" customWidth="1"/>
    <col min="3308" max="3308" width="11.7109375" style="42" customWidth="1"/>
    <col min="3309" max="3309" width="16.7109375" style="42" customWidth="1"/>
    <col min="3310" max="3310" width="14.42578125" style="42" customWidth="1"/>
    <col min="3311" max="3311" width="13.140625" style="42" customWidth="1"/>
    <col min="3312" max="3312" width="13.28515625" style="42" customWidth="1"/>
    <col min="3313" max="3313" width="11.85546875" style="42" customWidth="1"/>
    <col min="3314" max="3314" width="16" style="42" customWidth="1"/>
    <col min="3315" max="3315" width="12" style="42" customWidth="1"/>
    <col min="3316" max="3316" width="11.5703125" style="42" customWidth="1"/>
    <col min="3317" max="3317" width="11.7109375" style="42" customWidth="1"/>
    <col min="3318" max="3318" width="17.5703125" style="42" customWidth="1"/>
    <col min="3319" max="3319" width="6.42578125" style="42" customWidth="1"/>
    <col min="3320" max="3320" width="29.28515625" style="42" customWidth="1"/>
    <col min="3321" max="3321" width="18.85546875" style="42" customWidth="1"/>
    <col min="3322" max="3563" width="9.140625" style="42" customWidth="1"/>
    <col min="3564" max="3564" width="11.7109375" style="42" customWidth="1"/>
    <col min="3565" max="3565" width="16.7109375" style="42" customWidth="1"/>
    <col min="3566" max="3566" width="14.42578125" style="42" customWidth="1"/>
    <col min="3567" max="3567" width="13.140625" style="42" customWidth="1"/>
    <col min="3568" max="3568" width="13.28515625" style="42" customWidth="1"/>
    <col min="3569" max="3569" width="11.85546875" style="42" customWidth="1"/>
    <col min="3570" max="3570" width="16" style="42" customWidth="1"/>
    <col min="3571" max="3571" width="12" style="42" customWidth="1"/>
    <col min="3572" max="3572" width="11.5703125" style="42" customWidth="1"/>
    <col min="3573" max="3573" width="11.7109375" style="42" customWidth="1"/>
    <col min="3574" max="3574" width="17.5703125" style="42" customWidth="1"/>
    <col min="3575" max="3575" width="6.42578125" style="42" customWidth="1"/>
    <col min="3576" max="3576" width="29.28515625" style="42" customWidth="1"/>
    <col min="3577" max="3577" width="18.85546875" style="42" customWidth="1"/>
    <col min="3578" max="3819" width="9.140625" style="42" customWidth="1"/>
    <col min="3820" max="3820" width="11.7109375" style="42" customWidth="1"/>
    <col min="3821" max="3821" width="16.7109375" style="42" customWidth="1"/>
    <col min="3822" max="3822" width="14.42578125" style="42" customWidth="1"/>
    <col min="3823" max="3823" width="13.140625" style="42" customWidth="1"/>
    <col min="3824" max="3824" width="13.28515625" style="42" customWidth="1"/>
    <col min="3825" max="3825" width="11.85546875" style="42" customWidth="1"/>
    <col min="3826" max="3826" width="16" style="42" customWidth="1"/>
    <col min="3827" max="3827" width="12" style="42" customWidth="1"/>
    <col min="3828" max="3828" width="11.5703125" style="42" customWidth="1"/>
    <col min="3829" max="3829" width="11.7109375" style="42" customWidth="1"/>
    <col min="3830" max="3830" width="17.5703125" style="42" customWidth="1"/>
    <col min="3831" max="3831" width="6.42578125" style="42" customWidth="1"/>
    <col min="3832" max="3832" width="29.28515625" style="42" customWidth="1"/>
    <col min="3833" max="3833" width="18.85546875" style="42" customWidth="1"/>
    <col min="3834" max="4075" width="9.140625" style="42" customWidth="1"/>
    <col min="4076" max="4076" width="11.7109375" style="42" customWidth="1"/>
    <col min="4077" max="4077" width="16.7109375" style="42" customWidth="1"/>
    <col min="4078" max="4078" width="14.42578125" style="42" customWidth="1"/>
    <col min="4079" max="4079" width="13.140625" style="42" customWidth="1"/>
    <col min="4080" max="4080" width="13.28515625" style="42" customWidth="1"/>
    <col min="4081" max="4081" width="11.85546875" style="42" customWidth="1"/>
    <col min="4082" max="4082" width="16" style="42" customWidth="1"/>
    <col min="4083" max="4083" width="12" style="42" customWidth="1"/>
    <col min="4084" max="4084" width="11.5703125" style="42" customWidth="1"/>
    <col min="4085" max="4085" width="11.7109375" style="42" customWidth="1"/>
    <col min="4086" max="4086" width="17.5703125" style="42" customWidth="1"/>
    <col min="4087" max="4087" width="6.42578125" style="42" customWidth="1"/>
    <col min="4088" max="4088" width="29.28515625" style="42" customWidth="1"/>
    <col min="4089" max="4089" width="18.85546875" style="42" customWidth="1"/>
    <col min="4090" max="4331" width="9.140625" style="42" customWidth="1"/>
    <col min="4332" max="4332" width="11.7109375" style="42" customWidth="1"/>
    <col min="4333" max="4333" width="16.7109375" style="42" customWidth="1"/>
    <col min="4334" max="4334" width="14.42578125" style="42" customWidth="1"/>
    <col min="4335" max="4335" width="13.140625" style="42" customWidth="1"/>
    <col min="4336" max="4336" width="13.28515625" style="42" customWidth="1"/>
    <col min="4337" max="4337" width="11.85546875" style="42" customWidth="1"/>
    <col min="4338" max="4338" width="16" style="42" customWidth="1"/>
    <col min="4339" max="4339" width="12" style="42" customWidth="1"/>
    <col min="4340" max="4340" width="11.5703125" style="42" customWidth="1"/>
    <col min="4341" max="4341" width="11.7109375" style="42" customWidth="1"/>
    <col min="4342" max="4342" width="17.5703125" style="42" customWidth="1"/>
    <col min="4343" max="4343" width="6.42578125" style="42" customWidth="1"/>
    <col min="4344" max="4344" width="29.28515625" style="42" customWidth="1"/>
    <col min="4345" max="4345" width="18.85546875" style="42" customWidth="1"/>
    <col min="4346" max="4587" width="9.140625" style="42" customWidth="1"/>
    <col min="4588" max="4588" width="11.7109375" style="42" customWidth="1"/>
    <col min="4589" max="4589" width="16.7109375" style="42" customWidth="1"/>
    <col min="4590" max="4590" width="14.42578125" style="42" customWidth="1"/>
    <col min="4591" max="4591" width="13.140625" style="42" customWidth="1"/>
    <col min="4592" max="4592" width="13.28515625" style="42" customWidth="1"/>
    <col min="4593" max="4593" width="11.85546875" style="42" customWidth="1"/>
    <col min="4594" max="4594" width="16" style="42" customWidth="1"/>
    <col min="4595" max="4595" width="12" style="42" customWidth="1"/>
    <col min="4596" max="4596" width="11.5703125" style="42" customWidth="1"/>
    <col min="4597" max="4597" width="11.7109375" style="42" customWidth="1"/>
    <col min="4598" max="4598" width="17.5703125" style="42" customWidth="1"/>
    <col min="4599" max="4599" width="6.42578125" style="42" customWidth="1"/>
    <col min="4600" max="4600" width="29.28515625" style="42" customWidth="1"/>
    <col min="4601" max="4601" width="18.85546875" style="42" customWidth="1"/>
    <col min="4602" max="4843" width="9.140625" style="42" customWidth="1"/>
    <col min="4844" max="4844" width="11.7109375" style="42" customWidth="1"/>
    <col min="4845" max="4845" width="16.7109375" style="42" customWidth="1"/>
    <col min="4846" max="4846" width="14.42578125" style="42" customWidth="1"/>
    <col min="4847" max="4847" width="13.140625" style="42" customWidth="1"/>
    <col min="4848" max="4848" width="13.28515625" style="42" customWidth="1"/>
    <col min="4849" max="4849" width="11.85546875" style="42" customWidth="1"/>
    <col min="4850" max="4850" width="16" style="42" customWidth="1"/>
    <col min="4851" max="4851" width="12" style="42" customWidth="1"/>
    <col min="4852" max="4852" width="11.5703125" style="42" customWidth="1"/>
    <col min="4853" max="4853" width="11.7109375" style="42" customWidth="1"/>
    <col min="4854" max="4854" width="17.5703125" style="42" customWidth="1"/>
    <col min="4855" max="4855" width="6.42578125" style="42" customWidth="1"/>
    <col min="4856" max="4856" width="29.28515625" style="42" customWidth="1"/>
    <col min="4857" max="4857" width="18.85546875" style="42" customWidth="1"/>
    <col min="4858" max="5099" width="9.140625" style="42" customWidth="1"/>
    <col min="5100" max="5100" width="11.7109375" style="42" customWidth="1"/>
    <col min="5101" max="5101" width="16.7109375" style="42" customWidth="1"/>
    <col min="5102" max="5102" width="14.42578125" style="42" customWidth="1"/>
    <col min="5103" max="5103" width="13.140625" style="42" customWidth="1"/>
    <col min="5104" max="5104" width="13.28515625" style="42" customWidth="1"/>
    <col min="5105" max="5105" width="11.85546875" style="42" customWidth="1"/>
    <col min="5106" max="5106" width="16" style="42" customWidth="1"/>
    <col min="5107" max="5107" width="12" style="42" customWidth="1"/>
    <col min="5108" max="5108" width="11.5703125" style="42" customWidth="1"/>
    <col min="5109" max="5109" width="11.7109375" style="42" customWidth="1"/>
    <col min="5110" max="5110" width="17.5703125" style="42" customWidth="1"/>
    <col min="5111" max="5111" width="6.42578125" style="42" customWidth="1"/>
    <col min="5112" max="5112" width="29.28515625" style="42" customWidth="1"/>
    <col min="5113" max="5113" width="18.85546875" style="42" customWidth="1"/>
    <col min="5114" max="5355" width="9.140625" style="42" customWidth="1"/>
    <col min="5356" max="5356" width="11.7109375" style="42" customWidth="1"/>
    <col min="5357" max="5357" width="16.7109375" style="42" customWidth="1"/>
    <col min="5358" max="5358" width="14.42578125" style="42" customWidth="1"/>
    <col min="5359" max="5359" width="13.140625" style="42" customWidth="1"/>
    <col min="5360" max="5360" width="13.28515625" style="42" customWidth="1"/>
    <col min="5361" max="5361" width="11.85546875" style="42" customWidth="1"/>
    <col min="5362" max="5362" width="16" style="42" customWidth="1"/>
    <col min="5363" max="5363" width="12" style="42" customWidth="1"/>
    <col min="5364" max="5364" width="11.5703125" style="42" customWidth="1"/>
    <col min="5365" max="5365" width="11.7109375" style="42" customWidth="1"/>
    <col min="5366" max="5366" width="17.5703125" style="42" customWidth="1"/>
    <col min="5367" max="5367" width="6.42578125" style="42" customWidth="1"/>
    <col min="5368" max="5368" width="29.28515625" style="42" customWidth="1"/>
    <col min="5369" max="5369" width="18.85546875" style="42" customWidth="1"/>
    <col min="5370" max="5611" width="9.140625" style="42" customWidth="1"/>
    <col min="5612" max="5612" width="11.7109375" style="42" customWidth="1"/>
    <col min="5613" max="5613" width="16.7109375" style="42" customWidth="1"/>
    <col min="5614" max="5614" width="14.42578125" style="42" customWidth="1"/>
    <col min="5615" max="5615" width="13.140625" style="42" customWidth="1"/>
    <col min="5616" max="5616" width="13.28515625" style="42" customWidth="1"/>
    <col min="5617" max="5617" width="11.85546875" style="42" customWidth="1"/>
    <col min="5618" max="5618" width="16" style="42" customWidth="1"/>
    <col min="5619" max="5619" width="12" style="42" customWidth="1"/>
    <col min="5620" max="5620" width="11.5703125" style="42" customWidth="1"/>
    <col min="5621" max="5621" width="11.7109375" style="42" customWidth="1"/>
    <col min="5622" max="5622" width="17.5703125" style="42" customWidth="1"/>
    <col min="5623" max="5623" width="6.42578125" style="42" customWidth="1"/>
    <col min="5624" max="5624" width="29.28515625" style="42" customWidth="1"/>
    <col min="5625" max="5625" width="18.85546875" style="42" customWidth="1"/>
    <col min="5626" max="5867" width="9.140625" style="42" customWidth="1"/>
    <col min="5868" max="5868" width="11.7109375" style="42" customWidth="1"/>
    <col min="5869" max="5869" width="16.7109375" style="42" customWidth="1"/>
    <col min="5870" max="5870" width="14.42578125" style="42" customWidth="1"/>
    <col min="5871" max="5871" width="13.140625" style="42" customWidth="1"/>
    <col min="5872" max="5872" width="13.28515625" style="42" customWidth="1"/>
    <col min="5873" max="5873" width="11.85546875" style="42" customWidth="1"/>
    <col min="5874" max="5874" width="16" style="42" customWidth="1"/>
    <col min="5875" max="5875" width="12" style="42" customWidth="1"/>
    <col min="5876" max="5876" width="11.5703125" style="42" customWidth="1"/>
    <col min="5877" max="5877" width="11.7109375" style="42" customWidth="1"/>
    <col min="5878" max="5878" width="17.5703125" style="42" customWidth="1"/>
    <col min="5879" max="5879" width="6.42578125" style="42" customWidth="1"/>
    <col min="5880" max="5880" width="29.28515625" style="42" customWidth="1"/>
    <col min="5881" max="5881" width="18.85546875" style="42" customWidth="1"/>
    <col min="5882" max="6123" width="9.140625" style="42" customWidth="1"/>
    <col min="6124" max="6124" width="11.7109375" style="42" customWidth="1"/>
    <col min="6125" max="6125" width="16.7109375" style="42" customWidth="1"/>
    <col min="6126" max="6126" width="14.42578125" style="42" customWidth="1"/>
    <col min="6127" max="6127" width="13.140625" style="42" customWidth="1"/>
    <col min="6128" max="6128" width="13.28515625" style="42" customWidth="1"/>
    <col min="6129" max="6129" width="11.85546875" style="42" customWidth="1"/>
    <col min="6130" max="6130" width="16" style="42" customWidth="1"/>
    <col min="6131" max="6131" width="12" style="42" customWidth="1"/>
    <col min="6132" max="6132" width="11.5703125" style="42" customWidth="1"/>
    <col min="6133" max="6133" width="11.7109375" style="42" customWidth="1"/>
    <col min="6134" max="6134" width="17.5703125" style="42" customWidth="1"/>
    <col min="6135" max="6135" width="6.42578125" style="42" customWidth="1"/>
    <col min="6136" max="6136" width="29.28515625" style="42" customWidth="1"/>
    <col min="6137" max="6137" width="18.85546875" style="42" customWidth="1"/>
    <col min="6138" max="6379" width="9.140625" style="42" customWidth="1"/>
    <col min="6380" max="6380" width="11.7109375" style="42" customWidth="1"/>
    <col min="6381" max="6381" width="16.7109375" style="42" customWidth="1"/>
    <col min="6382" max="6382" width="14.42578125" style="42" customWidth="1"/>
    <col min="6383" max="6383" width="13.140625" style="42" customWidth="1"/>
    <col min="6384" max="6384" width="13.28515625" style="42" customWidth="1"/>
    <col min="6385" max="6385" width="11.85546875" style="42" customWidth="1"/>
    <col min="6386" max="6386" width="16" style="42" customWidth="1"/>
    <col min="6387" max="6387" width="12" style="42" customWidth="1"/>
    <col min="6388" max="6388" width="11.5703125" style="42" customWidth="1"/>
    <col min="6389" max="6389" width="11.7109375" style="42" customWidth="1"/>
    <col min="6390" max="6390" width="17.5703125" style="42" customWidth="1"/>
    <col min="6391" max="6391" width="6.42578125" style="42" customWidth="1"/>
    <col min="6392" max="6392" width="29.28515625" style="42" customWidth="1"/>
    <col min="6393" max="6393" width="18.85546875" style="42" customWidth="1"/>
    <col min="6394" max="6635" width="9.140625" style="42" customWidth="1"/>
    <col min="6636" max="6636" width="11.7109375" style="42" customWidth="1"/>
    <col min="6637" max="6637" width="16.7109375" style="42" customWidth="1"/>
    <col min="6638" max="6638" width="14.42578125" style="42" customWidth="1"/>
    <col min="6639" max="6639" width="13.140625" style="42" customWidth="1"/>
    <col min="6640" max="6640" width="13.28515625" style="42" customWidth="1"/>
    <col min="6641" max="6641" width="11.85546875" style="42" customWidth="1"/>
    <col min="6642" max="6642" width="16" style="42" customWidth="1"/>
    <col min="6643" max="6643" width="12" style="42" customWidth="1"/>
    <col min="6644" max="6644" width="11.5703125" style="42" customWidth="1"/>
    <col min="6645" max="6645" width="11.7109375" style="42" customWidth="1"/>
    <col min="6646" max="6646" width="17.5703125" style="42" customWidth="1"/>
    <col min="6647" max="6647" width="6.42578125" style="42" customWidth="1"/>
    <col min="6648" max="6648" width="29.28515625" style="42" customWidth="1"/>
    <col min="6649" max="6649" width="18.85546875" style="42" customWidth="1"/>
    <col min="6650" max="6891" width="9.140625" style="42" customWidth="1"/>
    <col min="6892" max="6892" width="11.7109375" style="42" customWidth="1"/>
    <col min="6893" max="6893" width="16.7109375" style="42" customWidth="1"/>
    <col min="6894" max="6894" width="14.42578125" style="42" customWidth="1"/>
    <col min="6895" max="6895" width="13.140625" style="42" customWidth="1"/>
    <col min="6896" max="6896" width="13.28515625" style="42" customWidth="1"/>
    <col min="6897" max="6897" width="11.85546875" style="42" customWidth="1"/>
    <col min="6898" max="6898" width="16" style="42" customWidth="1"/>
    <col min="6899" max="6899" width="12" style="42" customWidth="1"/>
    <col min="6900" max="6900" width="11.5703125" style="42" customWidth="1"/>
    <col min="6901" max="6901" width="11.7109375" style="42" customWidth="1"/>
    <col min="6902" max="6902" width="17.5703125" style="42" customWidth="1"/>
    <col min="6903" max="6903" width="6.42578125" style="42" customWidth="1"/>
    <col min="6904" max="6904" width="29.28515625" style="42" customWidth="1"/>
    <col min="6905" max="6905" width="18.85546875" style="42" customWidth="1"/>
    <col min="6906" max="7147" width="9.140625" style="42" customWidth="1"/>
    <col min="7148" max="7148" width="11.7109375" style="42" customWidth="1"/>
    <col min="7149" max="7149" width="16.7109375" style="42" customWidth="1"/>
    <col min="7150" max="7150" width="14.42578125" style="42" customWidth="1"/>
    <col min="7151" max="7151" width="13.140625" style="42" customWidth="1"/>
    <col min="7152" max="7152" width="13.28515625" style="42" customWidth="1"/>
    <col min="7153" max="7153" width="11.85546875" style="42" customWidth="1"/>
    <col min="7154" max="7154" width="16" style="42" customWidth="1"/>
    <col min="7155" max="7155" width="12" style="42" customWidth="1"/>
    <col min="7156" max="7156" width="11.5703125" style="42" customWidth="1"/>
    <col min="7157" max="7157" width="11.7109375" style="42" customWidth="1"/>
    <col min="7158" max="7158" width="17.5703125" style="42" customWidth="1"/>
    <col min="7159" max="7159" width="6.42578125" style="42" customWidth="1"/>
    <col min="7160" max="7160" width="29.28515625" style="42" customWidth="1"/>
    <col min="7161" max="7161" width="18.85546875" style="42" customWidth="1"/>
    <col min="7162" max="7403" width="9.140625" style="42" customWidth="1"/>
    <col min="7404" max="7404" width="11.7109375" style="42" customWidth="1"/>
    <col min="7405" max="7405" width="16.7109375" style="42" customWidth="1"/>
    <col min="7406" max="7406" width="14.42578125" style="42" customWidth="1"/>
    <col min="7407" max="7407" width="13.140625" style="42" customWidth="1"/>
    <col min="7408" max="7408" width="13.28515625" style="42" customWidth="1"/>
    <col min="7409" max="7409" width="11.85546875" style="42" customWidth="1"/>
    <col min="7410" max="7410" width="16" style="42" customWidth="1"/>
    <col min="7411" max="7411" width="12" style="42" customWidth="1"/>
    <col min="7412" max="7412" width="11.5703125" style="42" customWidth="1"/>
    <col min="7413" max="7413" width="11.7109375" style="42" customWidth="1"/>
    <col min="7414" max="7414" width="17.5703125" style="42" customWidth="1"/>
    <col min="7415" max="7415" width="6.42578125" style="42" customWidth="1"/>
    <col min="7416" max="7416" width="29.28515625" style="42" customWidth="1"/>
    <col min="7417" max="7417" width="18.85546875" style="42" customWidth="1"/>
    <col min="7418" max="7659" width="9.140625" style="42" customWidth="1"/>
    <col min="7660" max="7660" width="11.7109375" style="42" customWidth="1"/>
    <col min="7661" max="7661" width="16.7109375" style="42" customWidth="1"/>
    <col min="7662" max="7662" width="14.42578125" style="42" customWidth="1"/>
    <col min="7663" max="7663" width="13.140625" style="42" customWidth="1"/>
    <col min="7664" max="7664" width="13.28515625" style="42" customWidth="1"/>
    <col min="7665" max="7665" width="11.85546875" style="42" customWidth="1"/>
    <col min="7666" max="7666" width="16" style="42" customWidth="1"/>
    <col min="7667" max="7667" width="12" style="42" customWidth="1"/>
    <col min="7668" max="7668" width="11.5703125" style="42" customWidth="1"/>
    <col min="7669" max="7669" width="11.7109375" style="42" customWidth="1"/>
    <col min="7670" max="7670" width="17.5703125" style="42" customWidth="1"/>
    <col min="7671" max="7671" width="6.42578125" style="42" customWidth="1"/>
    <col min="7672" max="7672" width="29.28515625" style="42" customWidth="1"/>
    <col min="7673" max="7673" width="18.85546875" style="42" customWidth="1"/>
    <col min="7674" max="7915" width="9.140625" style="42" customWidth="1"/>
    <col min="7916" max="7916" width="11.7109375" style="42" customWidth="1"/>
    <col min="7917" max="7917" width="16.7109375" style="42" customWidth="1"/>
    <col min="7918" max="7918" width="14.42578125" style="42" customWidth="1"/>
    <col min="7919" max="7919" width="13.140625" style="42" customWidth="1"/>
    <col min="7920" max="7920" width="13.28515625" style="42" customWidth="1"/>
    <col min="7921" max="7921" width="11.85546875" style="42" customWidth="1"/>
    <col min="7922" max="7922" width="16" style="42" customWidth="1"/>
    <col min="7923" max="7923" width="12" style="42" customWidth="1"/>
    <col min="7924" max="7924" width="11.5703125" style="42" customWidth="1"/>
    <col min="7925" max="7925" width="11.7109375" style="42" customWidth="1"/>
    <col min="7926" max="7926" width="17.5703125" style="42" customWidth="1"/>
    <col min="7927" max="7927" width="6.42578125" style="42" customWidth="1"/>
    <col min="7928" max="7928" width="29.28515625" style="42" customWidth="1"/>
    <col min="7929" max="7929" width="18.85546875" style="42" customWidth="1"/>
    <col min="7930" max="8171" width="9.140625" style="42" customWidth="1"/>
    <col min="8172" max="8172" width="11.7109375" style="42" customWidth="1"/>
    <col min="8173" max="8173" width="16.7109375" style="42" customWidth="1"/>
    <col min="8174" max="8174" width="14.42578125" style="42" customWidth="1"/>
    <col min="8175" max="8175" width="13.140625" style="42" customWidth="1"/>
    <col min="8176" max="8176" width="13.28515625" style="42" customWidth="1"/>
    <col min="8177" max="8177" width="11.85546875" style="42" customWidth="1"/>
    <col min="8178" max="8178" width="16" style="42" customWidth="1"/>
    <col min="8179" max="8179" width="12" style="42" customWidth="1"/>
    <col min="8180" max="8180" width="11.5703125" style="42" customWidth="1"/>
    <col min="8181" max="8181" width="11.7109375" style="42" customWidth="1"/>
    <col min="8182" max="8182" width="17.5703125" style="42" customWidth="1"/>
    <col min="8183" max="8183" width="6.42578125" style="42" customWidth="1"/>
    <col min="8184" max="8184" width="29.28515625" style="42" customWidth="1"/>
    <col min="8185" max="8185" width="18.85546875" style="42" customWidth="1"/>
    <col min="8186" max="8427" width="9.140625" style="42" customWidth="1"/>
    <col min="8428" max="8428" width="11.7109375" style="42" customWidth="1"/>
    <col min="8429" max="8429" width="16.7109375" style="42" customWidth="1"/>
    <col min="8430" max="8430" width="14.42578125" style="42" customWidth="1"/>
    <col min="8431" max="8431" width="13.140625" style="42" customWidth="1"/>
    <col min="8432" max="8432" width="13.28515625" style="42" customWidth="1"/>
    <col min="8433" max="8433" width="11.85546875" style="42" customWidth="1"/>
    <col min="8434" max="8434" width="16" style="42" customWidth="1"/>
    <col min="8435" max="8435" width="12" style="42" customWidth="1"/>
    <col min="8436" max="8436" width="11.5703125" style="42" customWidth="1"/>
    <col min="8437" max="8437" width="11.7109375" style="42" customWidth="1"/>
    <col min="8438" max="8438" width="17.5703125" style="42" customWidth="1"/>
    <col min="8439" max="8439" width="6.42578125" style="42" customWidth="1"/>
    <col min="8440" max="8440" width="29.28515625" style="42" customWidth="1"/>
    <col min="8441" max="8441" width="18.85546875" style="42" customWidth="1"/>
    <col min="8442" max="8683" width="9.140625" style="42" customWidth="1"/>
    <col min="8684" max="8684" width="11.7109375" style="42" customWidth="1"/>
    <col min="8685" max="8685" width="16.7109375" style="42" customWidth="1"/>
    <col min="8686" max="8686" width="14.42578125" style="42" customWidth="1"/>
    <col min="8687" max="8687" width="13.140625" style="42" customWidth="1"/>
    <col min="8688" max="8688" width="13.28515625" style="42" customWidth="1"/>
    <col min="8689" max="8689" width="11.85546875" style="42" customWidth="1"/>
    <col min="8690" max="8690" width="16" style="42" customWidth="1"/>
    <col min="8691" max="8691" width="12" style="42" customWidth="1"/>
    <col min="8692" max="8692" width="11.5703125" style="42" customWidth="1"/>
    <col min="8693" max="8693" width="11.7109375" style="42" customWidth="1"/>
    <col min="8694" max="8694" width="17.5703125" style="42" customWidth="1"/>
    <col min="8695" max="8695" width="6.42578125" style="42" customWidth="1"/>
    <col min="8696" max="8696" width="29.28515625" style="42" customWidth="1"/>
    <col min="8697" max="8697" width="18.85546875" style="42" customWidth="1"/>
    <col min="8698" max="8939" width="9.140625" style="42" customWidth="1"/>
    <col min="8940" max="8940" width="11.7109375" style="42" customWidth="1"/>
    <col min="8941" max="8941" width="16.7109375" style="42" customWidth="1"/>
    <col min="8942" max="8942" width="14.42578125" style="42" customWidth="1"/>
    <col min="8943" max="8943" width="13.140625" style="42" customWidth="1"/>
    <col min="8944" max="8944" width="13.28515625" style="42" customWidth="1"/>
    <col min="8945" max="8945" width="11.85546875" style="42" customWidth="1"/>
    <col min="8946" max="8946" width="16" style="42" customWidth="1"/>
    <col min="8947" max="8947" width="12" style="42" customWidth="1"/>
    <col min="8948" max="8948" width="11.5703125" style="42" customWidth="1"/>
    <col min="8949" max="8949" width="11.7109375" style="42" customWidth="1"/>
    <col min="8950" max="8950" width="17.5703125" style="42" customWidth="1"/>
    <col min="8951" max="8951" width="6.42578125" style="42" customWidth="1"/>
    <col min="8952" max="8952" width="29.28515625" style="42" customWidth="1"/>
    <col min="8953" max="8953" width="18.85546875" style="42" customWidth="1"/>
    <col min="8954" max="9195" width="9.140625" style="42" customWidth="1"/>
    <col min="9196" max="9196" width="11.7109375" style="42" customWidth="1"/>
    <col min="9197" max="9197" width="16.7109375" style="42" customWidth="1"/>
    <col min="9198" max="9198" width="14.42578125" style="42" customWidth="1"/>
    <col min="9199" max="9199" width="13.140625" style="42" customWidth="1"/>
    <col min="9200" max="9200" width="13.28515625" style="42" customWidth="1"/>
    <col min="9201" max="9201" width="11.85546875" style="42" customWidth="1"/>
    <col min="9202" max="9202" width="16" style="42" customWidth="1"/>
    <col min="9203" max="9203" width="12" style="42" customWidth="1"/>
    <col min="9204" max="9204" width="11.5703125" style="42" customWidth="1"/>
    <col min="9205" max="9205" width="11.7109375" style="42" customWidth="1"/>
    <col min="9206" max="9206" width="17.5703125" style="42" customWidth="1"/>
    <col min="9207" max="9207" width="6.42578125" style="42" customWidth="1"/>
    <col min="9208" max="9208" width="29.28515625" style="42" customWidth="1"/>
    <col min="9209" max="9209" width="18.85546875" style="42" customWidth="1"/>
    <col min="9210" max="9451" width="9.140625" style="42" customWidth="1"/>
    <col min="9452" max="9452" width="11.7109375" style="42" customWidth="1"/>
    <col min="9453" max="9453" width="16.7109375" style="42" customWidth="1"/>
    <col min="9454" max="9454" width="14.42578125" style="42" customWidth="1"/>
    <col min="9455" max="9455" width="13.140625" style="42" customWidth="1"/>
    <col min="9456" max="9456" width="13.28515625" style="42" customWidth="1"/>
    <col min="9457" max="9457" width="11.85546875" style="42" customWidth="1"/>
    <col min="9458" max="9458" width="16" style="42" customWidth="1"/>
    <col min="9459" max="9459" width="12" style="42" customWidth="1"/>
    <col min="9460" max="9460" width="11.5703125" style="42" customWidth="1"/>
    <col min="9461" max="9461" width="11.7109375" style="42" customWidth="1"/>
    <col min="9462" max="9462" width="17.5703125" style="42" customWidth="1"/>
    <col min="9463" max="9463" width="6.42578125" style="42" customWidth="1"/>
    <col min="9464" max="9464" width="29.28515625" style="42" customWidth="1"/>
    <col min="9465" max="9465" width="18.85546875" style="42" customWidth="1"/>
    <col min="9466" max="9707" width="9.140625" style="42" customWidth="1"/>
    <col min="9708" max="9708" width="11.7109375" style="42" customWidth="1"/>
    <col min="9709" max="9709" width="16.7109375" style="42" customWidth="1"/>
    <col min="9710" max="9710" width="14.42578125" style="42" customWidth="1"/>
    <col min="9711" max="9711" width="13.140625" style="42" customWidth="1"/>
    <col min="9712" max="9712" width="13.28515625" style="42" customWidth="1"/>
    <col min="9713" max="9713" width="11.85546875" style="42" customWidth="1"/>
    <col min="9714" max="9714" width="16" style="42" customWidth="1"/>
    <col min="9715" max="9715" width="12" style="42" customWidth="1"/>
    <col min="9716" max="9716" width="11.5703125" style="42" customWidth="1"/>
    <col min="9717" max="9717" width="11.7109375" style="42" customWidth="1"/>
    <col min="9718" max="9718" width="17.5703125" style="42" customWidth="1"/>
    <col min="9719" max="9719" width="6.42578125" style="42" customWidth="1"/>
    <col min="9720" max="9720" width="29.28515625" style="42" customWidth="1"/>
    <col min="9721" max="9721" width="18.85546875" style="42" customWidth="1"/>
    <col min="9722" max="9963" width="9.140625" style="42" customWidth="1"/>
    <col min="9964" max="9964" width="11.7109375" style="42" customWidth="1"/>
    <col min="9965" max="9965" width="16.7109375" style="42" customWidth="1"/>
    <col min="9966" max="9966" width="14.42578125" style="42" customWidth="1"/>
    <col min="9967" max="9967" width="13.140625" style="42" customWidth="1"/>
    <col min="9968" max="9968" width="13.28515625" style="42" customWidth="1"/>
    <col min="9969" max="9969" width="11.85546875" style="42" customWidth="1"/>
    <col min="9970" max="9970" width="16" style="42" customWidth="1"/>
    <col min="9971" max="9971" width="12" style="42" customWidth="1"/>
    <col min="9972" max="9972" width="11.5703125" style="42" customWidth="1"/>
    <col min="9973" max="9973" width="11.7109375" style="42" customWidth="1"/>
    <col min="9974" max="9974" width="17.5703125" style="42" customWidth="1"/>
    <col min="9975" max="9975" width="6.42578125" style="42" customWidth="1"/>
    <col min="9976" max="9976" width="29.28515625" style="42" customWidth="1"/>
    <col min="9977" max="9977" width="18.85546875" style="42" customWidth="1"/>
    <col min="9978" max="10219" width="9.140625" style="42" customWidth="1"/>
    <col min="10220" max="10220" width="11.7109375" style="42" customWidth="1"/>
    <col min="10221" max="10221" width="16.7109375" style="42" customWidth="1"/>
    <col min="10222" max="10222" width="14.42578125" style="42" customWidth="1"/>
    <col min="10223" max="10223" width="13.140625" style="42" customWidth="1"/>
    <col min="10224" max="10224" width="13.28515625" style="42" customWidth="1"/>
    <col min="10225" max="10225" width="11.85546875" style="42" customWidth="1"/>
    <col min="10226" max="10226" width="16" style="42" customWidth="1"/>
    <col min="10227" max="10227" width="12" style="42" customWidth="1"/>
    <col min="10228" max="10228" width="11.5703125" style="42" customWidth="1"/>
    <col min="10229" max="10229" width="11.7109375" style="42" customWidth="1"/>
    <col min="10230" max="10230" width="17.5703125" style="42" customWidth="1"/>
    <col min="10231" max="10231" width="6.42578125" style="42" customWidth="1"/>
    <col min="10232" max="10232" width="29.28515625" style="42" customWidth="1"/>
    <col min="10233" max="10233" width="18.85546875" style="42" customWidth="1"/>
    <col min="10234" max="10475" width="9.140625" style="42" customWidth="1"/>
    <col min="10476" max="10476" width="11.7109375" style="42" customWidth="1"/>
    <col min="10477" max="10477" width="16.7109375" style="42" customWidth="1"/>
    <col min="10478" max="10478" width="14.42578125" style="42" customWidth="1"/>
    <col min="10479" max="10479" width="13.140625" style="42" customWidth="1"/>
    <col min="10480" max="10480" width="13.28515625" style="42" customWidth="1"/>
    <col min="10481" max="10481" width="11.85546875" style="42" customWidth="1"/>
    <col min="10482" max="10482" width="16" style="42" customWidth="1"/>
    <col min="10483" max="10483" width="12" style="42" customWidth="1"/>
    <col min="10484" max="10484" width="11.5703125" style="42" customWidth="1"/>
    <col min="10485" max="10485" width="11.7109375" style="42" customWidth="1"/>
    <col min="10486" max="10486" width="17.5703125" style="42" customWidth="1"/>
    <col min="10487" max="10487" width="6.42578125" style="42" customWidth="1"/>
    <col min="10488" max="10488" width="29.28515625" style="42" customWidth="1"/>
    <col min="10489" max="10489" width="18.85546875" style="42" customWidth="1"/>
    <col min="10490" max="10731" width="9.140625" style="42" customWidth="1"/>
    <col min="10732" max="10732" width="11.7109375" style="42" customWidth="1"/>
    <col min="10733" max="10733" width="16.7109375" style="42" customWidth="1"/>
    <col min="10734" max="10734" width="14.42578125" style="42" customWidth="1"/>
    <col min="10735" max="10735" width="13.140625" style="42" customWidth="1"/>
    <col min="10736" max="10736" width="13.28515625" style="42" customWidth="1"/>
    <col min="10737" max="10737" width="11.85546875" style="42" customWidth="1"/>
    <col min="10738" max="10738" width="16" style="42" customWidth="1"/>
    <col min="10739" max="10739" width="12" style="42" customWidth="1"/>
    <col min="10740" max="10740" width="11.5703125" style="42" customWidth="1"/>
    <col min="10741" max="10741" width="11.7109375" style="42" customWidth="1"/>
    <col min="10742" max="10742" width="17.5703125" style="42" customWidth="1"/>
    <col min="10743" max="10743" width="6.42578125" style="42" customWidth="1"/>
    <col min="10744" max="10744" width="29.28515625" style="42" customWidth="1"/>
    <col min="10745" max="10745" width="18.85546875" style="42" customWidth="1"/>
    <col min="10746" max="10987" width="9.140625" style="42" customWidth="1"/>
    <col min="10988" max="10988" width="11.7109375" style="42" customWidth="1"/>
    <col min="10989" max="10989" width="16.7109375" style="42" customWidth="1"/>
    <col min="10990" max="10990" width="14.42578125" style="42" customWidth="1"/>
    <col min="10991" max="10991" width="13.140625" style="42" customWidth="1"/>
    <col min="10992" max="10992" width="13.28515625" style="42" customWidth="1"/>
    <col min="10993" max="10993" width="11.85546875" style="42" customWidth="1"/>
    <col min="10994" max="10994" width="16" style="42" customWidth="1"/>
    <col min="10995" max="10995" width="12" style="42" customWidth="1"/>
    <col min="10996" max="10996" width="11.5703125" style="42" customWidth="1"/>
    <col min="10997" max="10997" width="11.7109375" style="42" customWidth="1"/>
    <col min="10998" max="10998" width="17.5703125" style="42" customWidth="1"/>
    <col min="10999" max="10999" width="6.42578125" style="42" customWidth="1"/>
    <col min="11000" max="11000" width="29.28515625" style="42" customWidth="1"/>
    <col min="11001" max="11001" width="18.85546875" style="42" customWidth="1"/>
    <col min="11002" max="11243" width="9.140625" style="42" customWidth="1"/>
    <col min="11244" max="11244" width="11.7109375" style="42" customWidth="1"/>
    <col min="11245" max="11245" width="16.7109375" style="42" customWidth="1"/>
    <col min="11246" max="11246" width="14.42578125" style="42" customWidth="1"/>
    <col min="11247" max="11247" width="13.140625" style="42" customWidth="1"/>
    <col min="11248" max="11248" width="13.28515625" style="42" customWidth="1"/>
    <col min="11249" max="11249" width="11.85546875" style="42" customWidth="1"/>
    <col min="11250" max="11250" width="16" style="42" customWidth="1"/>
    <col min="11251" max="11251" width="12" style="42" customWidth="1"/>
    <col min="11252" max="11252" width="11.5703125" style="42" customWidth="1"/>
    <col min="11253" max="11253" width="11.7109375" style="42" customWidth="1"/>
    <col min="11254" max="11254" width="17.5703125" style="42" customWidth="1"/>
    <col min="11255" max="11255" width="6.42578125" style="42" customWidth="1"/>
    <col min="11256" max="11256" width="29.28515625" style="42" customWidth="1"/>
    <col min="11257" max="11257" width="18.85546875" style="42" customWidth="1"/>
    <col min="11258" max="11499" width="9.140625" style="42" customWidth="1"/>
    <col min="11500" max="11500" width="11.7109375" style="42" customWidth="1"/>
    <col min="11501" max="11501" width="16.7109375" style="42" customWidth="1"/>
    <col min="11502" max="11502" width="14.42578125" style="42" customWidth="1"/>
    <col min="11503" max="11503" width="13.140625" style="42" customWidth="1"/>
    <col min="11504" max="11504" width="13.28515625" style="42" customWidth="1"/>
    <col min="11505" max="11505" width="11.85546875" style="42" customWidth="1"/>
    <col min="11506" max="11506" width="16" style="42" customWidth="1"/>
    <col min="11507" max="11507" width="12" style="42" customWidth="1"/>
    <col min="11508" max="11508" width="11.5703125" style="42" customWidth="1"/>
    <col min="11509" max="11509" width="11.7109375" style="42" customWidth="1"/>
    <col min="11510" max="11510" width="17.5703125" style="42" customWidth="1"/>
    <col min="11511" max="11511" width="6.42578125" style="42" customWidth="1"/>
    <col min="11512" max="11512" width="29.28515625" style="42" customWidth="1"/>
    <col min="11513" max="11513" width="18.85546875" style="42" customWidth="1"/>
    <col min="11514" max="11755" width="9.140625" style="42" customWidth="1"/>
    <col min="11756" max="11756" width="11.7109375" style="42" customWidth="1"/>
    <col min="11757" max="11757" width="16.7109375" style="42" customWidth="1"/>
    <col min="11758" max="11758" width="14.42578125" style="42" customWidth="1"/>
    <col min="11759" max="11759" width="13.140625" style="42" customWidth="1"/>
    <col min="11760" max="11760" width="13.28515625" style="42" customWidth="1"/>
    <col min="11761" max="11761" width="11.85546875" style="42" customWidth="1"/>
    <col min="11762" max="11762" width="16" style="42" customWidth="1"/>
    <col min="11763" max="11763" width="12" style="42" customWidth="1"/>
    <col min="11764" max="11764" width="11.5703125" style="42" customWidth="1"/>
    <col min="11765" max="11765" width="11.7109375" style="42" customWidth="1"/>
    <col min="11766" max="11766" width="17.5703125" style="42" customWidth="1"/>
    <col min="11767" max="11767" width="6.42578125" style="42" customWidth="1"/>
    <col min="11768" max="11768" width="29.28515625" style="42" customWidth="1"/>
    <col min="11769" max="11769" width="18.85546875" style="42" customWidth="1"/>
    <col min="11770" max="12011" width="9.140625" style="42" customWidth="1"/>
    <col min="12012" max="12012" width="11.7109375" style="42" customWidth="1"/>
    <col min="12013" max="12013" width="16.7109375" style="42" customWidth="1"/>
    <col min="12014" max="12014" width="14.42578125" style="42" customWidth="1"/>
    <col min="12015" max="12015" width="13.140625" style="42" customWidth="1"/>
    <col min="12016" max="12016" width="13.28515625" style="42" customWidth="1"/>
    <col min="12017" max="12017" width="11.85546875" style="42" customWidth="1"/>
    <col min="12018" max="12018" width="16" style="42" customWidth="1"/>
    <col min="12019" max="12019" width="12" style="42" customWidth="1"/>
    <col min="12020" max="12020" width="11.5703125" style="42" customWidth="1"/>
    <col min="12021" max="12021" width="11.7109375" style="42" customWidth="1"/>
    <col min="12022" max="12022" width="17.5703125" style="42" customWidth="1"/>
    <col min="12023" max="12023" width="6.42578125" style="42" customWidth="1"/>
    <col min="12024" max="12024" width="29.28515625" style="42" customWidth="1"/>
    <col min="12025" max="12025" width="18.85546875" style="42" customWidth="1"/>
    <col min="12026" max="12267" width="9.140625" style="42" customWidth="1"/>
    <col min="12268" max="12268" width="11.7109375" style="42" customWidth="1"/>
    <col min="12269" max="12269" width="16.7109375" style="42" customWidth="1"/>
    <col min="12270" max="12270" width="14.42578125" style="42" customWidth="1"/>
    <col min="12271" max="12271" width="13.140625" style="42" customWidth="1"/>
    <col min="12272" max="12272" width="13.28515625" style="42" customWidth="1"/>
    <col min="12273" max="12273" width="11.85546875" style="42" customWidth="1"/>
    <col min="12274" max="12274" width="16" style="42" customWidth="1"/>
    <col min="12275" max="12275" width="12" style="42" customWidth="1"/>
    <col min="12276" max="12276" width="11.5703125" style="42" customWidth="1"/>
    <col min="12277" max="12277" width="11.7109375" style="42" customWidth="1"/>
    <col min="12278" max="12278" width="17.5703125" style="42" customWidth="1"/>
    <col min="12279" max="12279" width="6.42578125" style="42" customWidth="1"/>
    <col min="12280" max="12280" width="29.28515625" style="42" customWidth="1"/>
    <col min="12281" max="12281" width="18.85546875" style="42" customWidth="1"/>
    <col min="12282" max="12523" width="9.140625" style="42" customWidth="1"/>
    <col min="12524" max="12524" width="11.7109375" style="42" customWidth="1"/>
    <col min="12525" max="12525" width="16.7109375" style="42" customWidth="1"/>
    <col min="12526" max="12526" width="14.42578125" style="42" customWidth="1"/>
    <col min="12527" max="12527" width="13.140625" style="42" customWidth="1"/>
    <col min="12528" max="12528" width="13.28515625" style="42" customWidth="1"/>
    <col min="12529" max="12529" width="11.85546875" style="42" customWidth="1"/>
    <col min="12530" max="12530" width="16" style="42" customWidth="1"/>
    <col min="12531" max="12531" width="12" style="42" customWidth="1"/>
    <col min="12532" max="12532" width="11.5703125" style="42" customWidth="1"/>
    <col min="12533" max="12533" width="11.7109375" style="42" customWidth="1"/>
    <col min="12534" max="12534" width="17.5703125" style="42" customWidth="1"/>
    <col min="12535" max="12535" width="6.42578125" style="42" customWidth="1"/>
    <col min="12536" max="12536" width="29.28515625" style="42" customWidth="1"/>
    <col min="12537" max="12537" width="18.85546875" style="42" customWidth="1"/>
    <col min="12538" max="12779" width="9.140625" style="42" customWidth="1"/>
    <col min="12780" max="12780" width="11.7109375" style="42" customWidth="1"/>
    <col min="12781" max="12781" width="16.7109375" style="42" customWidth="1"/>
    <col min="12782" max="12782" width="14.42578125" style="42" customWidth="1"/>
    <col min="12783" max="12783" width="13.140625" style="42" customWidth="1"/>
    <col min="12784" max="12784" width="13.28515625" style="42" customWidth="1"/>
    <col min="12785" max="12785" width="11.85546875" style="42" customWidth="1"/>
    <col min="12786" max="12786" width="16" style="42" customWidth="1"/>
    <col min="12787" max="12787" width="12" style="42" customWidth="1"/>
    <col min="12788" max="12788" width="11.5703125" style="42" customWidth="1"/>
    <col min="12789" max="12789" width="11.7109375" style="42" customWidth="1"/>
    <col min="12790" max="12790" width="17.5703125" style="42" customWidth="1"/>
    <col min="12791" max="12791" width="6.42578125" style="42" customWidth="1"/>
    <col min="12792" max="12792" width="29.28515625" style="42" customWidth="1"/>
    <col min="12793" max="12793" width="18.85546875" style="42" customWidth="1"/>
    <col min="12794" max="13035" width="9.140625" style="42" customWidth="1"/>
    <col min="13036" max="13036" width="11.7109375" style="42" customWidth="1"/>
    <col min="13037" max="13037" width="16.7109375" style="42" customWidth="1"/>
    <col min="13038" max="13038" width="14.42578125" style="42" customWidth="1"/>
    <col min="13039" max="13039" width="13.140625" style="42" customWidth="1"/>
    <col min="13040" max="13040" width="13.28515625" style="42" customWidth="1"/>
    <col min="13041" max="13041" width="11.85546875" style="42" customWidth="1"/>
    <col min="13042" max="13042" width="16" style="42" customWidth="1"/>
    <col min="13043" max="13043" width="12" style="42" customWidth="1"/>
    <col min="13044" max="13044" width="11.5703125" style="42" customWidth="1"/>
    <col min="13045" max="13045" width="11.7109375" style="42" customWidth="1"/>
    <col min="13046" max="13046" width="17.5703125" style="42" customWidth="1"/>
    <col min="13047" max="13047" width="6.42578125" style="42" customWidth="1"/>
    <col min="13048" max="13048" width="29.28515625" style="42" customWidth="1"/>
    <col min="13049" max="13049" width="18.85546875" style="42" customWidth="1"/>
    <col min="13050" max="13291" width="9.140625" style="42" customWidth="1"/>
    <col min="13292" max="13292" width="11.7109375" style="42" customWidth="1"/>
    <col min="13293" max="13293" width="16.7109375" style="42" customWidth="1"/>
    <col min="13294" max="13294" width="14.42578125" style="42" customWidth="1"/>
    <col min="13295" max="13295" width="13.140625" style="42" customWidth="1"/>
    <col min="13296" max="13296" width="13.28515625" style="42" customWidth="1"/>
    <col min="13297" max="13297" width="11.85546875" style="42" customWidth="1"/>
    <col min="13298" max="13298" width="16" style="42" customWidth="1"/>
    <col min="13299" max="13299" width="12" style="42" customWidth="1"/>
    <col min="13300" max="13300" width="11.5703125" style="42" customWidth="1"/>
    <col min="13301" max="13301" width="11.7109375" style="42" customWidth="1"/>
    <col min="13302" max="13302" width="17.5703125" style="42" customWidth="1"/>
    <col min="13303" max="13303" width="6.42578125" style="42" customWidth="1"/>
    <col min="13304" max="13304" width="29.28515625" style="42" customWidth="1"/>
    <col min="13305" max="13305" width="18.85546875" style="42" customWidth="1"/>
    <col min="13306" max="13547" width="9.140625" style="42" customWidth="1"/>
    <col min="13548" max="13548" width="11.7109375" style="42" customWidth="1"/>
    <col min="13549" max="13549" width="16.7109375" style="42" customWidth="1"/>
    <col min="13550" max="13550" width="14.42578125" style="42" customWidth="1"/>
    <col min="13551" max="13551" width="13.140625" style="42" customWidth="1"/>
    <col min="13552" max="13552" width="13.28515625" style="42" customWidth="1"/>
    <col min="13553" max="13553" width="11.85546875" style="42" customWidth="1"/>
    <col min="13554" max="13554" width="16" style="42" customWidth="1"/>
    <col min="13555" max="13555" width="12" style="42" customWidth="1"/>
    <col min="13556" max="13556" width="11.5703125" style="42" customWidth="1"/>
    <col min="13557" max="13557" width="11.7109375" style="42" customWidth="1"/>
    <col min="13558" max="13558" width="17.5703125" style="42" customWidth="1"/>
    <col min="13559" max="13559" width="6.42578125" style="42" customWidth="1"/>
    <col min="13560" max="13560" width="29.28515625" style="42" customWidth="1"/>
    <col min="13561" max="13561" width="18.85546875" style="42" customWidth="1"/>
    <col min="13562" max="13803" width="9.140625" style="42" customWidth="1"/>
    <col min="13804" max="13804" width="11.7109375" style="42" customWidth="1"/>
    <col min="13805" max="13805" width="16.7109375" style="42" customWidth="1"/>
    <col min="13806" max="13806" width="14.42578125" style="42" customWidth="1"/>
    <col min="13807" max="13807" width="13.140625" style="42" customWidth="1"/>
    <col min="13808" max="13808" width="13.28515625" style="42" customWidth="1"/>
    <col min="13809" max="13809" width="11.85546875" style="42" customWidth="1"/>
    <col min="13810" max="13810" width="16" style="42" customWidth="1"/>
    <col min="13811" max="13811" width="12" style="42" customWidth="1"/>
    <col min="13812" max="13812" width="11.5703125" style="42" customWidth="1"/>
    <col min="13813" max="13813" width="11.7109375" style="42" customWidth="1"/>
    <col min="13814" max="13814" width="17.5703125" style="42" customWidth="1"/>
    <col min="13815" max="13815" width="6.42578125" style="42" customWidth="1"/>
    <col min="13816" max="13816" width="29.28515625" style="42" customWidth="1"/>
    <col min="13817" max="13817" width="18.85546875" style="42" customWidth="1"/>
    <col min="13818" max="14059" width="9.140625" style="42" customWidth="1"/>
    <col min="14060" max="14060" width="11.7109375" style="42" customWidth="1"/>
    <col min="14061" max="14061" width="16.7109375" style="42" customWidth="1"/>
    <col min="14062" max="14062" width="14.42578125" style="42" customWidth="1"/>
    <col min="14063" max="14063" width="13.140625" style="42" customWidth="1"/>
    <col min="14064" max="14064" width="13.28515625" style="42" customWidth="1"/>
    <col min="14065" max="14065" width="11.85546875" style="42" customWidth="1"/>
    <col min="14066" max="14066" width="16" style="42" customWidth="1"/>
    <col min="14067" max="14067" width="12" style="42" customWidth="1"/>
    <col min="14068" max="14068" width="11.5703125" style="42" customWidth="1"/>
    <col min="14069" max="14069" width="11.7109375" style="42" customWidth="1"/>
    <col min="14070" max="14070" width="17.5703125" style="42" customWidth="1"/>
    <col min="14071" max="14071" width="6.42578125" style="42" customWidth="1"/>
    <col min="14072" max="14072" width="29.28515625" style="42" customWidth="1"/>
    <col min="14073" max="14073" width="18.85546875" style="42" customWidth="1"/>
    <col min="14074" max="14315" width="9.140625" style="42" customWidth="1"/>
    <col min="14316" max="14316" width="11.7109375" style="42" customWidth="1"/>
    <col min="14317" max="14317" width="16.7109375" style="42" customWidth="1"/>
    <col min="14318" max="14318" width="14.42578125" style="42" customWidth="1"/>
    <col min="14319" max="14319" width="13.140625" style="42" customWidth="1"/>
    <col min="14320" max="14320" width="13.28515625" style="42" customWidth="1"/>
    <col min="14321" max="14321" width="11.85546875" style="42" customWidth="1"/>
    <col min="14322" max="14322" width="16" style="42" customWidth="1"/>
    <col min="14323" max="14323" width="12" style="42" customWidth="1"/>
    <col min="14324" max="14324" width="11.5703125" style="42" customWidth="1"/>
    <col min="14325" max="14325" width="11.7109375" style="42" customWidth="1"/>
    <col min="14326" max="14326" width="17.5703125" style="42" customWidth="1"/>
    <col min="14327" max="14327" width="6.42578125" style="42" customWidth="1"/>
    <col min="14328" max="14328" width="29.28515625" style="42" customWidth="1"/>
    <col min="14329" max="14329" width="18.85546875" style="42" customWidth="1"/>
    <col min="14330" max="14571" width="9.140625" style="42" customWidth="1"/>
    <col min="14572" max="14572" width="11.7109375" style="42" customWidth="1"/>
    <col min="14573" max="14573" width="16.7109375" style="42" customWidth="1"/>
    <col min="14574" max="14574" width="14.42578125" style="42" customWidth="1"/>
    <col min="14575" max="14575" width="13.140625" style="42" customWidth="1"/>
    <col min="14576" max="14576" width="13.28515625" style="42" customWidth="1"/>
    <col min="14577" max="14577" width="11.85546875" style="42" customWidth="1"/>
    <col min="14578" max="14578" width="16" style="42" customWidth="1"/>
    <col min="14579" max="14579" width="12" style="42" customWidth="1"/>
    <col min="14580" max="14580" width="11.5703125" style="42" customWidth="1"/>
    <col min="14581" max="14581" width="11.7109375" style="42" customWidth="1"/>
    <col min="14582" max="14582" width="17.5703125" style="42" customWidth="1"/>
    <col min="14583" max="14583" width="6.42578125" style="42" customWidth="1"/>
    <col min="14584" max="14584" width="29.28515625" style="42" customWidth="1"/>
    <col min="14585" max="14585" width="18.85546875" style="42" customWidth="1"/>
    <col min="14586" max="14827" width="9.140625" style="42" customWidth="1"/>
    <col min="14828" max="14828" width="11.7109375" style="42" customWidth="1"/>
    <col min="14829" max="14829" width="16.7109375" style="42" customWidth="1"/>
    <col min="14830" max="14830" width="14.42578125" style="42" customWidth="1"/>
    <col min="14831" max="14831" width="13.140625" style="42" customWidth="1"/>
    <col min="14832" max="14832" width="13.28515625" style="42" customWidth="1"/>
    <col min="14833" max="14833" width="11.85546875" style="42" customWidth="1"/>
    <col min="14834" max="14834" width="16" style="42" customWidth="1"/>
    <col min="14835" max="14835" width="12" style="42" customWidth="1"/>
    <col min="14836" max="14836" width="11.5703125" style="42" customWidth="1"/>
    <col min="14837" max="14837" width="11.7109375" style="42" customWidth="1"/>
    <col min="14838" max="14838" width="17.5703125" style="42" customWidth="1"/>
    <col min="14839" max="14839" width="6.42578125" style="42" customWidth="1"/>
    <col min="14840" max="14840" width="29.28515625" style="42" customWidth="1"/>
    <col min="14841" max="14841" width="18.85546875" style="42" customWidth="1"/>
    <col min="14842" max="15083" width="9.140625" style="42" customWidth="1"/>
    <col min="15084" max="15084" width="11.7109375" style="42" customWidth="1"/>
    <col min="15085" max="15085" width="16.7109375" style="42" customWidth="1"/>
    <col min="15086" max="15086" width="14.42578125" style="42" customWidth="1"/>
    <col min="15087" max="15087" width="13.140625" style="42" customWidth="1"/>
    <col min="15088" max="15088" width="13.28515625" style="42" customWidth="1"/>
    <col min="15089" max="15089" width="11.85546875" style="42" customWidth="1"/>
    <col min="15090" max="15090" width="16" style="42" customWidth="1"/>
    <col min="15091" max="15091" width="12" style="42" customWidth="1"/>
    <col min="15092" max="15092" width="11.5703125" style="42" customWidth="1"/>
    <col min="15093" max="15093" width="11.7109375" style="42" customWidth="1"/>
    <col min="15094" max="15094" width="17.5703125" style="42" customWidth="1"/>
    <col min="15095" max="15095" width="6.42578125" style="42" customWidth="1"/>
    <col min="15096" max="15096" width="29.28515625" style="42" customWidth="1"/>
    <col min="15097" max="15097" width="18.85546875" style="42" customWidth="1"/>
    <col min="15098" max="15339" width="9.140625" style="42" customWidth="1"/>
    <col min="15340" max="15340" width="11.7109375" style="42" customWidth="1"/>
    <col min="15341" max="15341" width="16.7109375" style="42" customWidth="1"/>
    <col min="15342" max="15342" width="14.42578125" style="42" customWidth="1"/>
    <col min="15343" max="15343" width="13.140625" style="42" customWidth="1"/>
    <col min="15344" max="15344" width="13.28515625" style="42" customWidth="1"/>
    <col min="15345" max="15345" width="11.85546875" style="42" customWidth="1"/>
    <col min="15346" max="15346" width="16" style="42" customWidth="1"/>
    <col min="15347" max="15347" width="12" style="42" customWidth="1"/>
    <col min="15348" max="15348" width="11.5703125" style="42" customWidth="1"/>
    <col min="15349" max="15349" width="11.7109375" style="42" customWidth="1"/>
    <col min="15350" max="15350" width="17.5703125" style="42" customWidth="1"/>
    <col min="15351" max="15351" width="6.42578125" style="42" customWidth="1"/>
    <col min="15352" max="15352" width="29.28515625" style="42" customWidth="1"/>
    <col min="15353" max="15353" width="18.85546875" style="42" customWidth="1"/>
    <col min="15354" max="15595" width="9.140625" style="42" customWidth="1"/>
    <col min="15596" max="15596" width="11.7109375" style="42" customWidth="1"/>
    <col min="15597" max="15597" width="16.7109375" style="42" customWidth="1"/>
    <col min="15598" max="15598" width="14.42578125" style="42" customWidth="1"/>
    <col min="15599" max="15599" width="13.140625" style="42" customWidth="1"/>
    <col min="15600" max="15600" width="13.28515625" style="42" customWidth="1"/>
    <col min="15601" max="15601" width="11.85546875" style="42" customWidth="1"/>
    <col min="15602" max="15602" width="16" style="42" customWidth="1"/>
    <col min="15603" max="15603" width="12" style="42" customWidth="1"/>
    <col min="15604" max="15604" width="11.5703125" style="42" customWidth="1"/>
    <col min="15605" max="15605" width="11.7109375" style="42" customWidth="1"/>
    <col min="15606" max="15606" width="17.5703125" style="42" customWidth="1"/>
    <col min="15607" max="15607" width="6.42578125" style="42" customWidth="1"/>
    <col min="15608" max="15608" width="29.28515625" style="42" customWidth="1"/>
    <col min="15609" max="15609" width="18.85546875" style="42" customWidth="1"/>
    <col min="15610" max="15851" width="9.140625" style="42" customWidth="1"/>
    <col min="15852" max="15852" width="11.7109375" style="42" customWidth="1"/>
    <col min="15853" max="15853" width="16.7109375" style="42" customWidth="1"/>
    <col min="15854" max="15854" width="14.42578125" style="42" customWidth="1"/>
    <col min="15855" max="15855" width="13.140625" style="42" customWidth="1"/>
    <col min="15856" max="15856" width="13.28515625" style="42" customWidth="1"/>
    <col min="15857" max="15857" width="11.85546875" style="42" customWidth="1"/>
    <col min="15858" max="15858" width="16" style="42" customWidth="1"/>
    <col min="15859" max="15859" width="12" style="42" customWidth="1"/>
    <col min="15860" max="15860" width="11.5703125" style="42" customWidth="1"/>
    <col min="15861" max="15861" width="11.7109375" style="42" customWidth="1"/>
    <col min="15862" max="15862" width="17.5703125" style="42" customWidth="1"/>
    <col min="15863" max="15863" width="6.42578125" style="42" customWidth="1"/>
    <col min="15864" max="15864" width="29.28515625" style="42" customWidth="1"/>
    <col min="15865" max="15865" width="18.85546875" style="42" customWidth="1"/>
    <col min="15866" max="16107" width="9.140625" style="42" customWidth="1"/>
    <col min="16108" max="16108" width="11.7109375" style="42" customWidth="1"/>
    <col min="16109" max="16109" width="16.7109375" style="42" customWidth="1"/>
    <col min="16110" max="16110" width="14.42578125" style="42" customWidth="1"/>
    <col min="16111" max="16111" width="13.140625" style="42" customWidth="1"/>
    <col min="16112" max="16112" width="13.28515625" style="42" customWidth="1"/>
    <col min="16113" max="16113" width="11.85546875" style="42" customWidth="1"/>
    <col min="16114" max="16114" width="16" style="42" customWidth="1"/>
    <col min="16115" max="16115" width="12" style="42" customWidth="1"/>
    <col min="16116" max="16116" width="11.5703125" style="42" customWidth="1"/>
    <col min="16117" max="16117" width="11.7109375" style="42" customWidth="1"/>
    <col min="16118" max="16118" width="17.5703125" style="42" customWidth="1"/>
    <col min="16119" max="16119" width="6.42578125" style="42" customWidth="1"/>
    <col min="16120" max="16120" width="29.28515625" style="42" customWidth="1"/>
    <col min="16121" max="16121" width="18.85546875" style="42" customWidth="1"/>
    <col min="16122" max="16375" width="9.140625" style="42" customWidth="1"/>
    <col min="16376" max="16384" width="9.140625" style="42"/>
  </cols>
  <sheetData>
    <row r="2" spans="1:10" x14ac:dyDescent="0.2">
      <c r="J2" s="745" t="s">
        <v>240</v>
      </c>
    </row>
    <row r="3" spans="1:10" s="570" customFormat="1" ht="38.25" customHeight="1" x14ac:dyDescent="0.25">
      <c r="A3" s="220"/>
      <c r="B3" s="845" t="s">
        <v>1022</v>
      </c>
      <c r="C3" s="845"/>
      <c r="D3" s="845"/>
      <c r="E3" s="845"/>
      <c r="F3" s="845"/>
      <c r="G3" s="845"/>
      <c r="H3" s="845"/>
      <c r="I3" s="845"/>
      <c r="J3" s="845"/>
    </row>
    <row r="4" spans="1:10" s="570" customFormat="1" ht="15" x14ac:dyDescent="0.25">
      <c r="A4" s="220"/>
      <c r="B4" s="42"/>
      <c r="C4" s="220"/>
      <c r="D4" s="285"/>
      <c r="E4" s="285"/>
      <c r="F4" s="285"/>
      <c r="G4" s="285"/>
      <c r="H4" s="285"/>
      <c r="I4" s="286"/>
      <c r="J4" s="42"/>
    </row>
    <row r="5" spans="1:10" s="570" customFormat="1" ht="15" x14ac:dyDescent="0.25">
      <c r="A5" s="220"/>
      <c r="B5" s="859" t="s">
        <v>241</v>
      </c>
      <c r="C5" s="860"/>
      <c r="D5" s="860"/>
      <c r="E5" s="860"/>
      <c r="F5" s="860"/>
      <c r="G5" s="860"/>
      <c r="H5" s="860"/>
      <c r="I5" s="860"/>
      <c r="J5" s="861"/>
    </row>
    <row r="6" spans="1:10" s="570" customFormat="1" ht="36.75" customHeight="1" x14ac:dyDescent="0.25">
      <c r="A6" s="220"/>
      <c r="B6" s="853" t="s">
        <v>242</v>
      </c>
      <c r="C6" s="742" t="s">
        <v>243</v>
      </c>
      <c r="D6" s="743" t="s">
        <v>244</v>
      </c>
      <c r="E6" s="854" t="s">
        <v>245</v>
      </c>
      <c r="F6" s="855" t="s">
        <v>246</v>
      </c>
      <c r="G6" s="743" t="s">
        <v>914</v>
      </c>
      <c r="H6" s="743" t="s">
        <v>247</v>
      </c>
      <c r="I6" s="856" t="s">
        <v>248</v>
      </c>
      <c r="J6" s="743" t="s">
        <v>249</v>
      </c>
    </row>
    <row r="7" spans="1:10" ht="12.75" customHeight="1" x14ac:dyDescent="0.2">
      <c r="B7" s="853"/>
      <c r="C7" s="742" t="s">
        <v>250</v>
      </c>
      <c r="D7" s="744" t="s">
        <v>251</v>
      </c>
      <c r="E7" s="854"/>
      <c r="F7" s="855"/>
      <c r="G7" s="744" t="s">
        <v>251</v>
      </c>
      <c r="H7" s="744" t="s">
        <v>251</v>
      </c>
      <c r="I7" s="856"/>
      <c r="J7" s="743" t="s">
        <v>918</v>
      </c>
    </row>
    <row r="8" spans="1:10" x14ac:dyDescent="0.2">
      <c r="B8" s="852" t="s">
        <v>252</v>
      </c>
      <c r="C8" s="730" t="s">
        <v>253</v>
      </c>
      <c r="D8" s="847">
        <v>841930.56</v>
      </c>
      <c r="E8" s="731">
        <v>37391</v>
      </c>
      <c r="F8" s="732" t="s">
        <v>254</v>
      </c>
      <c r="G8" s="847">
        <f>2340.34+2235.73+2410.46+2251.33+2314.13+2156.7+2438.15+2282.1+2235.52+2405.26+2305.35+2313.09</f>
        <v>27688.16</v>
      </c>
      <c r="H8" s="847">
        <f>322848.93+G8</f>
        <v>350537.08999999997</v>
      </c>
      <c r="I8" s="850">
        <v>2032</v>
      </c>
      <c r="J8" s="851">
        <f>D8-H8</f>
        <v>491393.47000000009</v>
      </c>
    </row>
    <row r="9" spans="1:10" x14ac:dyDescent="0.2">
      <c r="B9" s="852"/>
      <c r="C9" s="731">
        <v>37313</v>
      </c>
      <c r="D9" s="847"/>
      <c r="E9" s="738">
        <v>119634</v>
      </c>
      <c r="F9" s="738">
        <v>119634</v>
      </c>
      <c r="G9" s="847"/>
      <c r="H9" s="847"/>
      <c r="I9" s="850"/>
      <c r="J9" s="851"/>
    </row>
    <row r="10" spans="1:10" x14ac:dyDescent="0.2">
      <c r="B10" s="852"/>
      <c r="C10" s="731"/>
      <c r="D10" s="847"/>
      <c r="E10" s="739">
        <f>E9/30.126</f>
        <v>3971.1212905795655</v>
      </c>
      <c r="F10" s="734">
        <f>F9/30.126</f>
        <v>3971.1212905795655</v>
      </c>
      <c r="G10" s="847"/>
      <c r="H10" s="847"/>
      <c r="I10" s="850"/>
      <c r="J10" s="851"/>
    </row>
    <row r="11" spans="1:10" x14ac:dyDescent="0.2">
      <c r="B11" s="852" t="s">
        <v>255</v>
      </c>
      <c r="C11" s="730" t="s">
        <v>256</v>
      </c>
      <c r="D11" s="847">
        <v>1529840</v>
      </c>
      <c r="E11" s="733" t="s">
        <v>257</v>
      </c>
      <c r="F11" s="732" t="s">
        <v>258</v>
      </c>
      <c r="G11" s="847">
        <f>3709.05+3628.69+3756.53+3635.06+3679.54+3558.82+3767.92+3647.66+3609.84+3735.63+3657.12+3660.28</f>
        <v>44046.14</v>
      </c>
      <c r="H11" s="847">
        <f>25885.45+G11</f>
        <v>69931.59</v>
      </c>
      <c r="I11" s="850" t="s">
        <v>259</v>
      </c>
      <c r="J11" s="851">
        <f>D11-H11</f>
        <v>1459908.41</v>
      </c>
    </row>
    <row r="12" spans="1:10" x14ac:dyDescent="0.2">
      <c r="B12" s="852"/>
      <c r="C12" s="731">
        <v>43012</v>
      </c>
      <c r="D12" s="847"/>
      <c r="E12" s="740">
        <v>4920.57</v>
      </c>
      <c r="F12" s="738" t="s">
        <v>260</v>
      </c>
      <c r="G12" s="847"/>
      <c r="H12" s="847"/>
      <c r="I12" s="850"/>
      <c r="J12" s="851"/>
    </row>
    <row r="13" spans="1:10" x14ac:dyDescent="0.2">
      <c r="B13" s="852"/>
      <c r="C13" s="731"/>
      <c r="D13" s="847"/>
      <c r="E13" s="739"/>
      <c r="F13" s="734">
        <v>4920.57</v>
      </c>
      <c r="G13" s="847"/>
      <c r="H13" s="847"/>
      <c r="I13" s="850"/>
      <c r="J13" s="851"/>
    </row>
    <row r="14" spans="1:10" x14ac:dyDescent="0.2">
      <c r="B14" s="852" t="s">
        <v>261</v>
      </c>
      <c r="C14" s="730" t="s">
        <v>262</v>
      </c>
      <c r="D14" s="847">
        <v>770210</v>
      </c>
      <c r="E14" s="733"/>
      <c r="F14" s="732" t="s">
        <v>258</v>
      </c>
      <c r="G14" s="847">
        <f>1858.47+1817.39+1882.67+1820.58+1843.28+1781.56+1888.37+1826.89+1807.54+1871.78+1831.64+1833.21</f>
        <v>22063.379999999997</v>
      </c>
      <c r="H14" s="847">
        <f>2006.62+G14</f>
        <v>24069.999999999996</v>
      </c>
      <c r="I14" s="850" t="s">
        <v>1025</v>
      </c>
      <c r="J14" s="851">
        <f>D14-H14</f>
        <v>746140</v>
      </c>
    </row>
    <row r="15" spans="1:10" x14ac:dyDescent="0.2">
      <c r="B15" s="852"/>
      <c r="C15" s="731">
        <v>42153</v>
      </c>
      <c r="D15" s="847"/>
      <c r="E15" s="740">
        <v>2477.3000000000002</v>
      </c>
      <c r="F15" s="738" t="s">
        <v>260</v>
      </c>
      <c r="G15" s="847"/>
      <c r="H15" s="847"/>
      <c r="I15" s="850"/>
      <c r="J15" s="851"/>
    </row>
    <row r="16" spans="1:10" x14ac:dyDescent="0.2">
      <c r="B16" s="852"/>
      <c r="C16" s="731"/>
      <c r="D16" s="847"/>
      <c r="E16" s="739"/>
      <c r="F16" s="734">
        <v>2477.3000000000002</v>
      </c>
      <c r="G16" s="847"/>
      <c r="H16" s="847"/>
      <c r="I16" s="850"/>
      <c r="J16" s="851"/>
    </row>
    <row r="17" spans="2:10" x14ac:dyDescent="0.2">
      <c r="B17" s="846" t="s">
        <v>263</v>
      </c>
      <c r="C17" s="731" t="s">
        <v>264</v>
      </c>
      <c r="D17" s="847">
        <f>368304.35+431752.15+120352.68+136825.05+133512.73</f>
        <v>1190746.96</v>
      </c>
      <c r="E17" s="733" t="s">
        <v>265</v>
      </c>
      <c r="F17" s="732" t="s">
        <v>266</v>
      </c>
      <c r="G17" s="847">
        <f>10530*12</f>
        <v>126360</v>
      </c>
      <c r="H17" s="847">
        <f>631800+G17</f>
        <v>758160</v>
      </c>
      <c r="I17" s="857">
        <v>45107</v>
      </c>
      <c r="J17" s="851">
        <f>D17-H17</f>
        <v>432586.95999999996</v>
      </c>
    </row>
    <row r="18" spans="2:10" x14ac:dyDescent="0.2">
      <c r="B18" s="846"/>
      <c r="C18" s="731">
        <v>41470</v>
      </c>
      <c r="D18" s="847"/>
      <c r="E18" s="734">
        <v>10530</v>
      </c>
      <c r="F18" s="732"/>
      <c r="G18" s="847"/>
      <c r="H18" s="847"/>
      <c r="I18" s="857"/>
      <c r="J18" s="851"/>
    </row>
    <row r="19" spans="2:10" x14ac:dyDescent="0.2">
      <c r="B19" s="846"/>
      <c r="C19" s="731" t="s">
        <v>267</v>
      </c>
      <c r="D19" s="847"/>
      <c r="E19" s="734"/>
      <c r="F19" s="732" t="s">
        <v>268</v>
      </c>
      <c r="G19" s="847"/>
      <c r="H19" s="847"/>
      <c r="I19" s="857"/>
      <c r="J19" s="851"/>
    </row>
    <row r="20" spans="2:10" x14ac:dyDescent="0.2">
      <c r="B20" s="846" t="s">
        <v>263</v>
      </c>
      <c r="C20" s="731" t="s">
        <v>269</v>
      </c>
      <c r="D20" s="847">
        <v>1000000</v>
      </c>
      <c r="E20" s="733" t="s">
        <v>270</v>
      </c>
      <c r="F20" s="732" t="s">
        <v>271</v>
      </c>
      <c r="G20" s="847">
        <f>8334*12</f>
        <v>100008</v>
      </c>
      <c r="H20" s="847">
        <f>200016+G20</f>
        <v>300024</v>
      </c>
      <c r="I20" s="857">
        <v>46387</v>
      </c>
      <c r="J20" s="851">
        <f>D20-H20</f>
        <v>699976</v>
      </c>
    </row>
    <row r="21" spans="2:10" x14ac:dyDescent="0.2">
      <c r="B21" s="846"/>
      <c r="C21" s="731">
        <v>42655</v>
      </c>
      <c r="D21" s="847"/>
      <c r="E21" s="734">
        <v>8334</v>
      </c>
      <c r="F21" s="732"/>
      <c r="G21" s="847"/>
      <c r="H21" s="847"/>
      <c r="I21" s="857"/>
      <c r="J21" s="851"/>
    </row>
    <row r="22" spans="2:10" x14ac:dyDescent="0.2">
      <c r="B22" s="846"/>
      <c r="C22" s="731"/>
      <c r="D22" s="847"/>
      <c r="E22" s="734"/>
      <c r="F22" s="732" t="s">
        <v>272</v>
      </c>
      <c r="G22" s="847"/>
      <c r="H22" s="847"/>
      <c r="I22" s="857"/>
      <c r="J22" s="851"/>
    </row>
    <row r="23" spans="2:10" x14ac:dyDescent="0.2">
      <c r="B23" s="846" t="s">
        <v>263</v>
      </c>
      <c r="C23" s="731" t="s">
        <v>273</v>
      </c>
      <c r="D23" s="847">
        <v>3210000</v>
      </c>
      <c r="E23" s="733" t="s">
        <v>274</v>
      </c>
      <c r="F23" s="732" t="s">
        <v>275</v>
      </c>
      <c r="G23" s="847">
        <f>26750*12</f>
        <v>321000</v>
      </c>
      <c r="H23" s="847">
        <f>G23</f>
        <v>321000</v>
      </c>
      <c r="I23" s="857">
        <v>47118</v>
      </c>
      <c r="J23" s="851">
        <f>D23-H23</f>
        <v>2889000</v>
      </c>
    </row>
    <row r="24" spans="2:10" x14ac:dyDescent="0.2">
      <c r="B24" s="846"/>
      <c r="C24" s="731">
        <v>43299</v>
      </c>
      <c r="D24" s="847"/>
      <c r="E24" s="734">
        <v>26750</v>
      </c>
      <c r="F24" s="732"/>
      <c r="G24" s="847"/>
      <c r="H24" s="847"/>
      <c r="I24" s="857"/>
      <c r="J24" s="851"/>
    </row>
    <row r="25" spans="2:10" x14ac:dyDescent="0.2">
      <c r="B25" s="846"/>
      <c r="C25" s="731"/>
      <c r="D25" s="847"/>
      <c r="E25" s="734"/>
      <c r="F25" s="732" t="s">
        <v>276</v>
      </c>
      <c r="G25" s="847"/>
      <c r="H25" s="847"/>
      <c r="I25" s="857"/>
      <c r="J25" s="851"/>
    </row>
    <row r="26" spans="2:10" x14ac:dyDescent="0.2">
      <c r="B26" s="846" t="s">
        <v>263</v>
      </c>
      <c r="C26" s="731" t="s">
        <v>915</v>
      </c>
      <c r="D26" s="847">
        <v>2050000</v>
      </c>
      <c r="E26" s="733" t="s">
        <v>916</v>
      </c>
      <c r="F26" s="732" t="s">
        <v>1026</v>
      </c>
      <c r="G26" s="847">
        <v>0</v>
      </c>
      <c r="H26" s="847">
        <v>0</v>
      </c>
      <c r="I26" s="857">
        <v>47483</v>
      </c>
      <c r="J26" s="851">
        <f>D26</f>
        <v>2050000</v>
      </c>
    </row>
    <row r="27" spans="2:10" x14ac:dyDescent="0.2">
      <c r="B27" s="846"/>
      <c r="C27" s="731">
        <v>43753</v>
      </c>
      <c r="D27" s="847"/>
      <c r="E27" s="734">
        <v>17084</v>
      </c>
      <c r="F27" s="732"/>
      <c r="G27" s="847"/>
      <c r="H27" s="847"/>
      <c r="I27" s="857"/>
      <c r="J27" s="851"/>
    </row>
    <row r="28" spans="2:10" x14ac:dyDescent="0.2">
      <c r="B28" s="846"/>
      <c r="C28" s="731"/>
      <c r="D28" s="847"/>
      <c r="E28" s="734"/>
      <c r="F28" s="732" t="s">
        <v>917</v>
      </c>
      <c r="G28" s="847"/>
      <c r="H28" s="847"/>
      <c r="I28" s="857"/>
      <c r="J28" s="851"/>
    </row>
    <row r="29" spans="2:10" x14ac:dyDescent="0.2">
      <c r="B29" s="846" t="s">
        <v>277</v>
      </c>
      <c r="C29" s="731" t="s">
        <v>278</v>
      </c>
      <c r="D29" s="847">
        <v>2401468.7999999998</v>
      </c>
      <c r="E29" s="731">
        <v>42394</v>
      </c>
      <c r="F29" s="732" t="s">
        <v>279</v>
      </c>
      <c r="G29" s="847">
        <f>20012.24*12</f>
        <v>240146.88</v>
      </c>
      <c r="H29" s="847">
        <f>720440.64+G29</f>
        <v>960587.52</v>
      </c>
      <c r="I29" s="857">
        <v>46014</v>
      </c>
      <c r="J29" s="851">
        <f>D29-H29</f>
        <v>1440881.2799999998</v>
      </c>
    </row>
    <row r="30" spans="2:10" x14ac:dyDescent="0.2">
      <c r="B30" s="846"/>
      <c r="C30" s="731">
        <v>42142</v>
      </c>
      <c r="D30" s="847"/>
      <c r="E30" s="734">
        <v>20012.240000000002</v>
      </c>
      <c r="F30" s="732" t="s">
        <v>280</v>
      </c>
      <c r="G30" s="847"/>
      <c r="H30" s="847"/>
      <c r="I30" s="857"/>
      <c r="J30" s="851"/>
    </row>
    <row r="31" spans="2:10" x14ac:dyDescent="0.2">
      <c r="B31" s="846"/>
      <c r="C31" s="731"/>
      <c r="D31" s="847"/>
      <c r="E31" s="734"/>
      <c r="F31" s="732"/>
      <c r="G31" s="847"/>
      <c r="H31" s="847"/>
      <c r="I31" s="857"/>
      <c r="J31" s="851"/>
    </row>
    <row r="32" spans="2:10" x14ac:dyDescent="0.2">
      <c r="B32" s="846" t="s">
        <v>277</v>
      </c>
      <c r="C32" s="735" t="s">
        <v>281</v>
      </c>
      <c r="D32" s="847">
        <v>681759.94</v>
      </c>
      <c r="E32" s="735">
        <v>42034</v>
      </c>
      <c r="F32" s="732" t="s">
        <v>282</v>
      </c>
      <c r="G32" s="848">
        <f>5681.33*12</f>
        <v>68175.959999999992</v>
      </c>
      <c r="H32" s="847">
        <f>272703.84+G32</f>
        <v>340879.80000000005</v>
      </c>
      <c r="I32" s="857">
        <v>45657</v>
      </c>
      <c r="J32" s="851">
        <f>D32-H32</f>
        <v>340880.1399999999</v>
      </c>
    </row>
    <row r="33" spans="2:10" x14ac:dyDescent="0.2">
      <c r="B33" s="846"/>
      <c r="C33" s="735"/>
      <c r="D33" s="847"/>
      <c r="E33" s="736"/>
      <c r="F33" s="732"/>
      <c r="G33" s="848"/>
      <c r="H33" s="847"/>
      <c r="I33" s="857"/>
      <c r="J33" s="851"/>
    </row>
    <row r="34" spans="2:10" x14ac:dyDescent="0.2">
      <c r="B34" s="846"/>
      <c r="C34" s="735">
        <v>41890</v>
      </c>
      <c r="D34" s="847"/>
      <c r="E34" s="736">
        <v>5681.33</v>
      </c>
      <c r="F34" s="732" t="s">
        <v>283</v>
      </c>
      <c r="G34" s="848"/>
      <c r="H34" s="847"/>
      <c r="I34" s="857"/>
      <c r="J34" s="851"/>
    </row>
    <row r="35" spans="2:10" x14ac:dyDescent="0.2">
      <c r="B35" s="849" t="s">
        <v>284</v>
      </c>
      <c r="C35" s="735" t="s">
        <v>285</v>
      </c>
      <c r="D35" s="847">
        <v>1500000</v>
      </c>
      <c r="E35" s="741" t="s">
        <v>265</v>
      </c>
      <c r="F35" s="737" t="s">
        <v>286</v>
      </c>
      <c r="G35" s="848">
        <f>12500*12</f>
        <v>150000</v>
      </c>
      <c r="H35" s="847">
        <f>750000+G35</f>
        <v>900000</v>
      </c>
      <c r="I35" s="857">
        <v>45291</v>
      </c>
      <c r="J35" s="851">
        <f>D35-H35</f>
        <v>600000</v>
      </c>
    </row>
    <row r="36" spans="2:10" x14ac:dyDescent="0.2">
      <c r="B36" s="849"/>
      <c r="C36" s="735">
        <v>41548</v>
      </c>
      <c r="D36" s="847"/>
      <c r="E36" s="736">
        <v>12500</v>
      </c>
      <c r="F36" s="737" t="s">
        <v>287</v>
      </c>
      <c r="G36" s="848"/>
      <c r="H36" s="847"/>
      <c r="I36" s="857"/>
      <c r="J36" s="851"/>
    </row>
    <row r="37" spans="2:10" x14ac:dyDescent="0.2">
      <c r="B37" s="849" t="s">
        <v>284</v>
      </c>
      <c r="C37" s="735" t="s">
        <v>288</v>
      </c>
      <c r="D37" s="847">
        <v>1300000</v>
      </c>
      <c r="E37" s="741" t="s">
        <v>289</v>
      </c>
      <c r="F37" s="737" t="s">
        <v>290</v>
      </c>
      <c r="G37" s="848">
        <f>10834*12</f>
        <v>130008</v>
      </c>
      <c r="H37" s="847">
        <f>520032+G37</f>
        <v>650040</v>
      </c>
      <c r="I37" s="857">
        <v>45657</v>
      </c>
      <c r="J37" s="851">
        <f>D37-H37</f>
        <v>649960</v>
      </c>
    </row>
    <row r="38" spans="2:10" x14ac:dyDescent="0.2">
      <c r="B38" s="849"/>
      <c r="C38" s="735">
        <v>41815</v>
      </c>
      <c r="D38" s="847"/>
      <c r="E38" s="736">
        <v>10834</v>
      </c>
      <c r="F38" s="737" t="s">
        <v>291</v>
      </c>
      <c r="G38" s="848"/>
      <c r="H38" s="847"/>
      <c r="I38" s="857"/>
      <c r="J38" s="851"/>
    </row>
    <row r="39" spans="2:10" x14ac:dyDescent="0.2">
      <c r="B39" s="849" t="s">
        <v>284</v>
      </c>
      <c r="C39" s="735" t="s">
        <v>292</v>
      </c>
      <c r="D39" s="858">
        <v>1800000</v>
      </c>
      <c r="E39" s="741" t="s">
        <v>293</v>
      </c>
      <c r="F39" s="737" t="s">
        <v>294</v>
      </c>
      <c r="G39" s="848">
        <f>15000*12</f>
        <v>180000</v>
      </c>
      <c r="H39" s="847">
        <f>540000+G39</f>
        <v>720000</v>
      </c>
      <c r="I39" s="857">
        <v>46022</v>
      </c>
      <c r="J39" s="851">
        <f>D39-H39</f>
        <v>1080000</v>
      </c>
    </row>
    <row r="40" spans="2:10" x14ac:dyDescent="0.2">
      <c r="B40" s="849"/>
      <c r="C40" s="735">
        <v>42304</v>
      </c>
      <c r="D40" s="858"/>
      <c r="E40" s="736">
        <v>15000</v>
      </c>
      <c r="F40" s="737" t="s">
        <v>295</v>
      </c>
      <c r="G40" s="848"/>
      <c r="H40" s="847"/>
      <c r="I40" s="857"/>
      <c r="J40" s="851"/>
    </row>
    <row r="41" spans="2:10" x14ac:dyDescent="0.2">
      <c r="B41" s="846" t="s">
        <v>296</v>
      </c>
      <c r="C41" s="735" t="s">
        <v>297</v>
      </c>
      <c r="D41" s="847">
        <v>3120000</v>
      </c>
      <c r="E41" s="741" t="s">
        <v>298</v>
      </c>
      <c r="F41" s="737" t="s">
        <v>299</v>
      </c>
      <c r="G41" s="848">
        <f>27130*12</f>
        <v>325560</v>
      </c>
      <c r="H41" s="847">
        <f>325560+G41</f>
        <v>651120</v>
      </c>
      <c r="I41" s="857">
        <v>46589</v>
      </c>
      <c r="J41" s="851">
        <f>D41-H41</f>
        <v>2468880</v>
      </c>
    </row>
    <row r="42" spans="2:10" x14ac:dyDescent="0.2">
      <c r="B42" s="846"/>
      <c r="C42" s="735">
        <v>42929</v>
      </c>
      <c r="D42" s="847"/>
      <c r="E42" s="736">
        <v>27130</v>
      </c>
      <c r="F42" s="737" t="s">
        <v>300</v>
      </c>
      <c r="G42" s="848"/>
      <c r="H42" s="847"/>
      <c r="I42" s="857"/>
      <c r="J42" s="851"/>
    </row>
    <row r="43" spans="2:10" ht="12.75" x14ac:dyDescent="0.2">
      <c r="B43" s="723"/>
      <c r="C43" s="724"/>
      <c r="D43" s="725"/>
      <c r="E43" s="725"/>
      <c r="F43" s="726"/>
      <c r="G43" s="727"/>
      <c r="H43" s="728"/>
      <c r="I43" s="729"/>
      <c r="J43" s="729"/>
    </row>
    <row r="44" spans="2:10" ht="15.75" customHeight="1" x14ac:dyDescent="0.2">
      <c r="B44" s="862" t="s">
        <v>301</v>
      </c>
      <c r="C44" s="862"/>
      <c r="D44" s="862"/>
      <c r="E44" s="862"/>
      <c r="F44" s="862"/>
      <c r="G44" s="862"/>
      <c r="H44" s="862"/>
      <c r="I44" s="862"/>
      <c r="J44" s="862"/>
    </row>
    <row r="45" spans="2:10" ht="36" x14ac:dyDescent="0.2">
      <c r="B45" s="853" t="s">
        <v>242</v>
      </c>
      <c r="C45" s="742" t="s">
        <v>243</v>
      </c>
      <c r="D45" s="743" t="s">
        <v>244</v>
      </c>
      <c r="E45" s="854" t="s">
        <v>245</v>
      </c>
      <c r="F45" s="855" t="s">
        <v>246</v>
      </c>
      <c r="G45" s="743" t="s">
        <v>914</v>
      </c>
      <c r="H45" s="743" t="s">
        <v>247</v>
      </c>
      <c r="I45" s="856" t="s">
        <v>248</v>
      </c>
      <c r="J45" s="743" t="s">
        <v>249</v>
      </c>
    </row>
    <row r="46" spans="2:10" x14ac:dyDescent="0.2">
      <c r="B46" s="853"/>
      <c r="C46" s="742" t="s">
        <v>250</v>
      </c>
      <c r="D46" s="744" t="s">
        <v>251</v>
      </c>
      <c r="E46" s="854"/>
      <c r="F46" s="855"/>
      <c r="G46" s="744" t="s">
        <v>251</v>
      </c>
      <c r="H46" s="744" t="s">
        <v>251</v>
      </c>
      <c r="I46" s="856"/>
      <c r="J46" s="743" t="s">
        <v>918</v>
      </c>
    </row>
    <row r="47" spans="2:10" x14ac:dyDescent="0.2">
      <c r="B47" s="852" t="s">
        <v>302</v>
      </c>
      <c r="C47" s="733" t="s">
        <v>303</v>
      </c>
      <c r="D47" s="863">
        <v>586770.98</v>
      </c>
      <c r="E47" s="733" t="s">
        <v>304</v>
      </c>
      <c r="F47" s="732" t="s">
        <v>305</v>
      </c>
      <c r="G47" s="847">
        <f>4889.76*12</f>
        <v>58677.120000000003</v>
      </c>
      <c r="H47" s="851">
        <f>469416.96+G47</f>
        <v>528094.08000000007</v>
      </c>
      <c r="I47" s="857">
        <v>44196</v>
      </c>
      <c r="J47" s="851">
        <f>D47-H47</f>
        <v>58676.899999999907</v>
      </c>
    </row>
    <row r="48" spans="2:10" x14ac:dyDescent="0.2">
      <c r="B48" s="852"/>
      <c r="C48" s="733" t="s">
        <v>306</v>
      </c>
      <c r="D48" s="863"/>
      <c r="E48" s="734">
        <v>4889.76</v>
      </c>
      <c r="F48" s="732" t="s">
        <v>307</v>
      </c>
      <c r="G48" s="847"/>
      <c r="H48" s="851"/>
      <c r="I48" s="857"/>
      <c r="J48" s="851"/>
    </row>
    <row r="49" spans="2:10" x14ac:dyDescent="0.2">
      <c r="B49" s="852" t="s">
        <v>308</v>
      </c>
      <c r="C49" s="733" t="s">
        <v>303</v>
      </c>
      <c r="D49" s="863">
        <v>1259891.28</v>
      </c>
      <c r="E49" s="733" t="s">
        <v>304</v>
      </c>
      <c r="F49" s="732" t="s">
        <v>305</v>
      </c>
      <c r="G49" s="847">
        <f>10499.09*12</f>
        <v>125989.08</v>
      </c>
      <c r="H49" s="851">
        <f>1007912.64+G49</f>
        <v>1133901.72</v>
      </c>
      <c r="I49" s="857">
        <v>44196</v>
      </c>
      <c r="J49" s="851">
        <f>D49-H49</f>
        <v>125989.56000000006</v>
      </c>
    </row>
    <row r="50" spans="2:10" x14ac:dyDescent="0.2">
      <c r="B50" s="852"/>
      <c r="C50" s="733" t="s">
        <v>309</v>
      </c>
      <c r="D50" s="863"/>
      <c r="E50" s="734">
        <v>10499.09</v>
      </c>
      <c r="F50" s="732" t="s">
        <v>310</v>
      </c>
      <c r="G50" s="847"/>
      <c r="H50" s="851"/>
      <c r="I50" s="857"/>
      <c r="J50" s="851"/>
    </row>
  </sheetData>
  <mergeCells count="101">
    <mergeCell ref="B5:J5"/>
    <mergeCell ref="B44:J44"/>
    <mergeCell ref="B49:B50"/>
    <mergeCell ref="D49:D50"/>
    <mergeCell ref="G49:G50"/>
    <mergeCell ref="H49:H50"/>
    <mergeCell ref="I49:I50"/>
    <mergeCell ref="J49:J50"/>
    <mergeCell ref="B45:B46"/>
    <mergeCell ref="E45:E46"/>
    <mergeCell ref="F45:F46"/>
    <mergeCell ref="I45:I46"/>
    <mergeCell ref="B47:B48"/>
    <mergeCell ref="D47:D48"/>
    <mergeCell ref="G47:G48"/>
    <mergeCell ref="H47:H48"/>
    <mergeCell ref="I47:I48"/>
    <mergeCell ref="J47:J48"/>
    <mergeCell ref="I41:I42"/>
    <mergeCell ref="J41:J42"/>
    <mergeCell ref="I35:I36"/>
    <mergeCell ref="J35:J36"/>
    <mergeCell ref="D37:D38"/>
    <mergeCell ref="I37:I38"/>
    <mergeCell ref="J37:J38"/>
    <mergeCell ref="D39:D40"/>
    <mergeCell ref="I39:I40"/>
    <mergeCell ref="J39:J40"/>
    <mergeCell ref="I29:I31"/>
    <mergeCell ref="J29:J31"/>
    <mergeCell ref="B32:B34"/>
    <mergeCell ref="D32:D34"/>
    <mergeCell ref="G32:G34"/>
    <mergeCell ref="H32:H34"/>
    <mergeCell ref="I32:I34"/>
    <mergeCell ref="J32:J34"/>
    <mergeCell ref="H39:H40"/>
    <mergeCell ref="B39:B40"/>
    <mergeCell ref="G39:G40"/>
    <mergeCell ref="B29:B31"/>
    <mergeCell ref="D29:D31"/>
    <mergeCell ref="G29:G31"/>
    <mergeCell ref="H29:H31"/>
    <mergeCell ref="I23:I25"/>
    <mergeCell ref="J23:J25"/>
    <mergeCell ref="B26:B28"/>
    <mergeCell ref="D26:D28"/>
    <mergeCell ref="G26:G28"/>
    <mergeCell ref="H26:H28"/>
    <mergeCell ref="I26:I28"/>
    <mergeCell ref="J26:J28"/>
    <mergeCell ref="I17:I19"/>
    <mergeCell ref="J17:J19"/>
    <mergeCell ref="B20:B22"/>
    <mergeCell ref="D20:D22"/>
    <mergeCell ref="G20:G22"/>
    <mergeCell ref="H20:H22"/>
    <mergeCell ref="I20:I22"/>
    <mergeCell ref="J20:J22"/>
    <mergeCell ref="B23:B25"/>
    <mergeCell ref="D23:D25"/>
    <mergeCell ref="G23:G25"/>
    <mergeCell ref="H23:H25"/>
    <mergeCell ref="B17:B19"/>
    <mergeCell ref="D17:D19"/>
    <mergeCell ref="G17:G19"/>
    <mergeCell ref="H17:H19"/>
    <mergeCell ref="B8:B10"/>
    <mergeCell ref="D8:D10"/>
    <mergeCell ref="G8:G10"/>
    <mergeCell ref="H8:H10"/>
    <mergeCell ref="I8:I10"/>
    <mergeCell ref="J8:J10"/>
    <mergeCell ref="B11:B13"/>
    <mergeCell ref="D11:D13"/>
    <mergeCell ref="G11:G13"/>
    <mergeCell ref="H11:H13"/>
    <mergeCell ref="B3:J3"/>
    <mergeCell ref="B41:B42"/>
    <mergeCell ref="D41:D42"/>
    <mergeCell ref="G41:G42"/>
    <mergeCell ref="H41:H42"/>
    <mergeCell ref="H35:H36"/>
    <mergeCell ref="B37:B38"/>
    <mergeCell ref="G37:G38"/>
    <mergeCell ref="H37:H38"/>
    <mergeCell ref="B35:B36"/>
    <mergeCell ref="G35:G36"/>
    <mergeCell ref="D35:D36"/>
    <mergeCell ref="I11:I13"/>
    <mergeCell ref="J11:J13"/>
    <mergeCell ref="B14:B16"/>
    <mergeCell ref="D14:D16"/>
    <mergeCell ref="G14:G16"/>
    <mergeCell ref="H14:H16"/>
    <mergeCell ref="I14:I16"/>
    <mergeCell ref="J14:J16"/>
    <mergeCell ref="B6:B7"/>
    <mergeCell ref="E6:E7"/>
    <mergeCell ref="F6:F7"/>
    <mergeCell ref="I6:I7"/>
  </mergeCells>
  <pageMargins left="0.82677165354330717" right="0.62992125984251968" top="0.11811023622047245" bottom="0.19685039370078741" header="0.11811023622047245" footer="0.19685039370078741"/>
  <pageSetup paperSize="9" scale="85" fitToWidth="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B2:O46"/>
  <sheetViews>
    <sheetView workbookViewId="0"/>
  </sheetViews>
  <sheetFormatPr defaultColWidth="9.7109375" defaultRowHeight="12.75" x14ac:dyDescent="0.2"/>
  <cols>
    <col min="1" max="1" width="1.85546875" style="27" customWidth="1"/>
    <col min="2" max="2" width="31" style="27" customWidth="1"/>
    <col min="3" max="4" width="7.85546875" style="27" customWidth="1"/>
    <col min="5" max="5" width="8.28515625" style="27" customWidth="1"/>
    <col min="6" max="6" width="8.85546875" style="27" customWidth="1"/>
    <col min="7" max="7" width="9.42578125" style="27" customWidth="1"/>
    <col min="8" max="8" width="8.5703125" style="27" customWidth="1"/>
    <col min="9" max="9" width="10.5703125" style="27" customWidth="1"/>
    <col min="10" max="14" width="9.140625" style="27" customWidth="1"/>
    <col min="15" max="15" width="19.42578125" style="27" customWidth="1"/>
    <col min="16" max="245" width="9.140625" style="27" customWidth="1"/>
    <col min="246" max="246" width="1.85546875" style="27" customWidth="1"/>
    <col min="247" max="247" width="42" style="27" customWidth="1"/>
    <col min="248" max="248" width="11.7109375" style="27" customWidth="1"/>
    <col min="249" max="249" width="10.140625" style="27" customWidth="1"/>
    <col min="250" max="250" width="10.28515625" style="27" customWidth="1"/>
    <col min="251" max="251" width="10.140625" style="27" customWidth="1"/>
    <col min="252" max="252" width="11.5703125" style="27" customWidth="1"/>
    <col min="253" max="253" width="10.28515625" style="27" customWidth="1"/>
    <col min="254" max="254" width="1.7109375" style="27" customWidth="1"/>
    <col min="255" max="255" width="16.7109375" style="27" customWidth="1"/>
    <col min="256" max="256" width="9.7109375" style="27" customWidth="1"/>
    <col min="257" max="16384" width="9.7109375" style="27"/>
  </cols>
  <sheetData>
    <row r="2" spans="2:15" ht="15" customHeight="1" x14ac:dyDescent="0.2">
      <c r="G2" s="287"/>
      <c r="I2" s="288" t="s">
        <v>311</v>
      </c>
      <c r="J2" s="289"/>
    </row>
    <row r="3" spans="2:15" ht="10.5" customHeight="1" x14ac:dyDescent="0.2">
      <c r="E3" s="287"/>
    </row>
    <row r="4" spans="2:15" ht="58.5" customHeight="1" x14ac:dyDescent="0.2">
      <c r="B4" s="864" t="s">
        <v>1017</v>
      </c>
      <c r="C4" s="864"/>
      <c r="D4" s="864"/>
      <c r="E4" s="864"/>
      <c r="F4" s="864"/>
      <c r="G4" s="864"/>
      <c r="H4" s="864"/>
      <c r="I4" s="864"/>
      <c r="J4" s="290"/>
    </row>
    <row r="5" spans="2:15" ht="9" customHeight="1" x14ac:dyDescent="0.2">
      <c r="B5" s="290"/>
      <c r="C5" s="290"/>
      <c r="D5" s="290"/>
      <c r="E5" s="290"/>
      <c r="F5" s="290"/>
      <c r="G5" s="290"/>
      <c r="H5" s="290"/>
      <c r="I5" s="290"/>
    </row>
    <row r="6" spans="2:15" ht="52.5" customHeight="1" x14ac:dyDescent="0.2">
      <c r="B6" s="865" t="s">
        <v>312</v>
      </c>
      <c r="C6" s="865"/>
      <c r="D6" s="865"/>
      <c r="E6" s="865"/>
      <c r="F6" s="865"/>
      <c r="G6" s="865"/>
      <c r="H6" s="865"/>
      <c r="I6" s="865"/>
      <c r="J6" s="291"/>
    </row>
    <row r="7" spans="2:15" ht="3.75" customHeight="1" thickBot="1" x14ac:dyDescent="0.25"/>
    <row r="8" spans="2:15" ht="15" x14ac:dyDescent="0.25">
      <c r="B8" s="292"/>
      <c r="C8" s="293">
        <v>2013</v>
      </c>
      <c r="D8" s="293">
        <v>2014</v>
      </c>
      <c r="E8" s="293">
        <v>2015</v>
      </c>
      <c r="F8" s="293">
        <v>2016</v>
      </c>
      <c r="G8" s="293">
        <v>2017</v>
      </c>
      <c r="H8" s="294">
        <v>2018</v>
      </c>
      <c r="I8" s="294">
        <v>2019</v>
      </c>
    </row>
    <row r="9" spans="2:15" x14ac:dyDescent="0.2">
      <c r="B9" s="295" t="s">
        <v>313</v>
      </c>
      <c r="C9" s="296">
        <v>55452</v>
      </c>
      <c r="D9" s="181">
        <v>55338</v>
      </c>
      <c r="E9" s="296">
        <v>55155</v>
      </c>
      <c r="F9" s="181">
        <v>55000</v>
      </c>
      <c r="G9" s="296">
        <v>54916</v>
      </c>
      <c r="H9" s="655">
        <v>54705</v>
      </c>
      <c r="I9" s="297">
        <v>54696</v>
      </c>
    </row>
    <row r="10" spans="2:15" ht="1.5" customHeight="1" x14ac:dyDescent="0.2">
      <c r="B10" s="295"/>
      <c r="C10" s="296"/>
      <c r="D10" s="181"/>
      <c r="E10" s="296"/>
      <c r="F10" s="181"/>
      <c r="G10" s="296"/>
      <c r="H10" s="655"/>
      <c r="I10" s="297"/>
    </row>
    <row r="11" spans="2:15" x14ac:dyDescent="0.2">
      <c r="B11" s="295" t="s">
        <v>314</v>
      </c>
      <c r="C11" s="298">
        <v>9293</v>
      </c>
      <c r="D11" s="299">
        <v>16598</v>
      </c>
      <c r="E11" s="298">
        <v>14037</v>
      </c>
      <c r="F11" s="299">
        <v>12053</v>
      </c>
      <c r="G11" s="298">
        <v>12394</v>
      </c>
      <c r="H11" s="656">
        <v>13381</v>
      </c>
      <c r="I11" s="300">
        <v>12837</v>
      </c>
    </row>
    <row r="12" spans="2:15" customFormat="1" ht="15" customHeight="1" x14ac:dyDescent="0.25">
      <c r="B12" s="301" t="s">
        <v>315</v>
      </c>
      <c r="C12" s="296">
        <f t="shared" ref="C12:G12" si="0">C11/C9*1000</f>
        <v>167.5863810142105</v>
      </c>
      <c r="D12" s="181">
        <f t="shared" si="0"/>
        <v>299.93855939860492</v>
      </c>
      <c r="E12" s="296">
        <f t="shared" si="0"/>
        <v>254.50095186293174</v>
      </c>
      <c r="F12" s="181">
        <f t="shared" si="0"/>
        <v>219.14545454545453</v>
      </c>
      <c r="G12" s="296">
        <f t="shared" si="0"/>
        <v>225.69014494864882</v>
      </c>
      <c r="H12" s="655">
        <f>H11/H9*1000</f>
        <v>244.60286993876247</v>
      </c>
      <c r="I12" s="297">
        <f>I11/I9*1000</f>
        <v>234.69723562966215</v>
      </c>
      <c r="J12" s="27"/>
      <c r="K12" s="27"/>
      <c r="L12" s="27"/>
      <c r="M12" s="27"/>
      <c r="N12" s="27"/>
      <c r="O12" s="175"/>
    </row>
    <row r="13" spans="2:15" customFormat="1" ht="15" x14ac:dyDescent="0.25">
      <c r="B13" s="301" t="s">
        <v>316</v>
      </c>
      <c r="C13" s="296">
        <v>31393</v>
      </c>
      <c r="D13" s="181">
        <v>31923</v>
      </c>
      <c r="E13" s="296">
        <v>34190</v>
      </c>
      <c r="F13" s="181">
        <v>37362</v>
      </c>
      <c r="G13" s="296">
        <v>39771</v>
      </c>
      <c r="H13" s="655">
        <v>43691</v>
      </c>
      <c r="I13" s="297">
        <v>48206</v>
      </c>
      <c r="J13" s="27"/>
      <c r="K13" s="27"/>
      <c r="L13" s="27"/>
      <c r="M13" s="27"/>
      <c r="N13" s="27"/>
      <c r="O13" s="175"/>
    </row>
    <row r="14" spans="2:15" customFormat="1" ht="30" customHeight="1" x14ac:dyDescent="0.25">
      <c r="B14" s="301" t="s">
        <v>317</v>
      </c>
      <c r="C14" s="302">
        <v>0.30980000000000002</v>
      </c>
      <c r="D14" s="303">
        <v>0.52869999999999995</v>
      </c>
      <c r="E14" s="302">
        <f t="shared" ref="E14:I14" si="1">E11/D13</f>
        <v>0.43971431256460858</v>
      </c>
      <c r="F14" s="303">
        <f t="shared" si="1"/>
        <v>0.35252997952617726</v>
      </c>
      <c r="G14" s="302">
        <f t="shared" si="1"/>
        <v>0.33172742358546115</v>
      </c>
      <c r="H14" s="657">
        <f t="shared" si="1"/>
        <v>0.33645118302280558</v>
      </c>
      <c r="I14" s="304">
        <f t="shared" si="1"/>
        <v>0.29381337117484152</v>
      </c>
      <c r="J14" s="27"/>
      <c r="K14" s="27"/>
      <c r="L14" s="27"/>
      <c r="M14" s="27"/>
      <c r="N14" s="27"/>
      <c r="O14" s="27"/>
    </row>
    <row r="15" spans="2:15" customFormat="1" ht="7.5" customHeight="1" x14ac:dyDescent="0.25">
      <c r="B15" s="301"/>
      <c r="C15" s="302"/>
      <c r="D15" s="303"/>
      <c r="E15" s="302"/>
      <c r="F15" s="303"/>
      <c r="G15" s="302"/>
      <c r="H15" s="657"/>
      <c r="I15" s="304"/>
      <c r="J15" s="27"/>
      <c r="K15" s="27"/>
      <c r="L15" s="27"/>
      <c r="M15" s="27"/>
      <c r="N15" s="27"/>
      <c r="O15" s="27"/>
    </row>
    <row r="16" spans="2:15" customFormat="1" ht="15" x14ac:dyDescent="0.25">
      <c r="B16" s="301" t="s">
        <v>318</v>
      </c>
      <c r="C16" s="298">
        <v>2006</v>
      </c>
      <c r="D16" s="299">
        <v>1785</v>
      </c>
      <c r="E16" s="298">
        <v>2131</v>
      </c>
      <c r="F16" s="299">
        <v>1813</v>
      </c>
      <c r="G16" s="298">
        <f>129+2804</f>
        <v>2933</v>
      </c>
      <c r="H16" s="656">
        <v>3168</v>
      </c>
      <c r="I16" s="300">
        <v>2038</v>
      </c>
      <c r="J16" s="27"/>
      <c r="K16" s="27"/>
      <c r="L16" s="27"/>
      <c r="M16" s="27"/>
      <c r="N16" s="27"/>
      <c r="O16" s="27"/>
    </row>
    <row r="17" spans="2:15" customFormat="1" ht="39" x14ac:dyDescent="0.25">
      <c r="B17" s="305" t="s">
        <v>319</v>
      </c>
      <c r="C17" s="306"/>
      <c r="D17" s="307"/>
      <c r="E17" s="306"/>
      <c r="F17" s="308">
        <v>28921</v>
      </c>
      <c r="G17" s="308">
        <v>31427</v>
      </c>
      <c r="H17" s="658">
        <v>34803</v>
      </c>
      <c r="I17" s="309">
        <v>37690</v>
      </c>
      <c r="J17" s="27"/>
      <c r="K17" s="27"/>
      <c r="L17" s="27"/>
      <c r="M17" s="27"/>
      <c r="N17" s="27"/>
      <c r="O17" s="27"/>
    </row>
    <row r="18" spans="2:15" s="127" customFormat="1" ht="39.75" customHeight="1" thickBot="1" x14ac:dyDescent="0.3">
      <c r="B18" s="310" t="s">
        <v>320</v>
      </c>
      <c r="C18" s="311">
        <v>6.6900000000000001E-2</v>
      </c>
      <c r="D18" s="312">
        <v>5.6899999999999999E-2</v>
      </c>
      <c r="E18" s="311">
        <f>E16/D13</f>
        <v>6.6754377721392102E-2</v>
      </c>
      <c r="F18" s="312">
        <f>F16/E13</f>
        <v>5.3027200935946185E-2</v>
      </c>
      <c r="G18" s="312">
        <f>G16/F17</f>
        <v>0.10141419729608243</v>
      </c>
      <c r="H18" s="659">
        <f>H16/G17</f>
        <v>0.1008050402520126</v>
      </c>
      <c r="I18" s="313">
        <f>I16/H17</f>
        <v>5.8558170272677644E-2</v>
      </c>
    </row>
    <row r="19" spans="2:15" customFormat="1" ht="15" x14ac:dyDescent="0.25">
      <c r="B19" s="314"/>
      <c r="C19" s="315"/>
      <c r="D19" s="315"/>
      <c r="E19" s="315"/>
      <c r="F19" s="27"/>
      <c r="G19" s="27"/>
      <c r="H19" s="316"/>
      <c r="I19" s="27"/>
      <c r="J19" s="27"/>
      <c r="K19" s="27"/>
      <c r="L19" s="27"/>
      <c r="M19" s="27"/>
      <c r="N19" s="27"/>
      <c r="O19" s="27"/>
    </row>
    <row r="20" spans="2:15" customFormat="1" ht="27" customHeight="1" x14ac:dyDescent="0.25">
      <c r="B20" s="866" t="s">
        <v>1023</v>
      </c>
      <c r="C20" s="866"/>
      <c r="D20" s="866"/>
      <c r="E20" s="866"/>
      <c r="F20" s="866"/>
      <c r="G20" s="866"/>
      <c r="H20" s="866"/>
      <c r="I20" s="866"/>
      <c r="J20" s="27"/>
      <c r="K20" s="27"/>
      <c r="L20" s="27"/>
      <c r="M20" s="27"/>
      <c r="N20" s="27"/>
      <c r="O20" s="27"/>
    </row>
    <row r="21" spans="2:15" customFormat="1" ht="15" x14ac:dyDescent="0.25">
      <c r="B21" s="867"/>
      <c r="C21" s="867"/>
      <c r="D21" s="867"/>
      <c r="E21" s="867"/>
      <c r="F21" s="867"/>
      <c r="G21" s="867"/>
      <c r="H21" s="867"/>
      <c r="I21" s="867"/>
      <c r="J21" s="27"/>
      <c r="K21" s="27"/>
      <c r="L21" s="27"/>
      <c r="M21" s="27"/>
      <c r="N21" s="27"/>
      <c r="O21" s="27"/>
    </row>
    <row r="22" spans="2:15" customFormat="1" ht="33.75" customHeight="1" x14ac:dyDescent="0.25">
      <c r="B22" s="866" t="s">
        <v>321</v>
      </c>
      <c r="C22" s="866"/>
      <c r="D22" s="866"/>
      <c r="E22" s="866"/>
      <c r="F22" s="866"/>
      <c r="G22" s="866"/>
      <c r="H22" s="866"/>
      <c r="I22" s="866"/>
      <c r="J22" s="27"/>
      <c r="K22" s="27"/>
      <c r="L22" s="27"/>
      <c r="M22" s="27"/>
      <c r="N22" s="27"/>
      <c r="O22" s="27"/>
    </row>
    <row r="23" spans="2:15" customFormat="1" ht="57" customHeight="1" x14ac:dyDescent="0.25">
      <c r="B23" s="865" t="s">
        <v>322</v>
      </c>
      <c r="C23" s="865"/>
      <c r="D23" s="865"/>
      <c r="E23" s="865"/>
      <c r="F23" s="865"/>
      <c r="G23" s="865"/>
      <c r="H23" s="865"/>
      <c r="I23" s="865"/>
      <c r="J23" s="27"/>
      <c r="K23" s="27"/>
      <c r="L23" s="27"/>
      <c r="M23" s="27"/>
      <c r="N23" s="27"/>
      <c r="O23" s="27"/>
    </row>
    <row r="24" spans="2:15" customFormat="1" ht="15" x14ac:dyDescent="0.25">
      <c r="B24" s="27"/>
      <c r="C24" s="315"/>
      <c r="D24" s="315"/>
      <c r="E24" s="315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2:15" customFormat="1" ht="15" x14ac:dyDescent="0.25">
      <c r="B25" s="314"/>
      <c r="C25" s="315"/>
      <c r="D25" s="315"/>
      <c r="E25" s="315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spans="2:15" customFormat="1" ht="15" x14ac:dyDescent="0.25">
      <c r="B26" s="314"/>
      <c r="C26" s="315"/>
      <c r="D26" s="315"/>
      <c r="E26" s="315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2:15" customFormat="1" ht="15" x14ac:dyDescent="0.25">
      <c r="B27" s="314"/>
      <c r="C27" s="315"/>
      <c r="D27" s="315"/>
      <c r="E27" s="315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2:15" customFormat="1" ht="15" x14ac:dyDescent="0.25">
      <c r="B28" s="314"/>
      <c r="C28" s="315"/>
      <c r="D28" s="315"/>
      <c r="E28" s="315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5" customFormat="1" ht="15" x14ac:dyDescent="0.25">
      <c r="B29" s="314"/>
      <c r="C29" s="315"/>
      <c r="D29" s="315"/>
      <c r="E29" s="315"/>
      <c r="F29" s="27"/>
      <c r="G29" s="27"/>
      <c r="H29" s="27"/>
      <c r="I29" s="27"/>
      <c r="J29" s="27"/>
      <c r="K29" s="27"/>
      <c r="L29" s="27"/>
      <c r="M29" s="27"/>
      <c r="N29" s="27"/>
      <c r="O29" s="27"/>
    </row>
    <row r="30" spans="2:15" customFormat="1" ht="15" x14ac:dyDescent="0.25">
      <c r="B30" s="314"/>
      <c r="C30" s="315"/>
      <c r="D30" s="315"/>
      <c r="E30" s="315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1" spans="2:15" customFormat="1" ht="15" x14ac:dyDescent="0.25">
      <c r="B31" s="314"/>
      <c r="C31" s="315"/>
      <c r="D31" s="315"/>
      <c r="E31" s="315"/>
      <c r="F31" s="27"/>
      <c r="G31" s="27"/>
      <c r="H31" s="27"/>
      <c r="I31" s="27"/>
      <c r="J31" s="27"/>
      <c r="K31" s="27"/>
      <c r="L31" s="27"/>
      <c r="M31" s="27"/>
      <c r="N31" s="27"/>
      <c r="O31" s="27"/>
    </row>
    <row r="32" spans="2:15" customFormat="1" ht="15" x14ac:dyDescent="0.25">
      <c r="B32" s="314"/>
      <c r="C32" s="315"/>
      <c r="D32" s="315"/>
      <c r="E32" s="315"/>
      <c r="F32" s="27"/>
      <c r="G32" s="27"/>
      <c r="H32" s="27"/>
      <c r="I32" s="27"/>
      <c r="J32" s="27"/>
      <c r="K32" s="27"/>
      <c r="L32" s="27"/>
      <c r="M32" s="27"/>
      <c r="N32" s="27"/>
      <c r="O32" s="27"/>
    </row>
    <row r="33" spans="2:15" customFormat="1" ht="15" x14ac:dyDescent="0.25">
      <c r="B33" s="314"/>
      <c r="C33" s="315"/>
      <c r="D33" s="315"/>
      <c r="E33" s="315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2:15" customFormat="1" ht="15" x14ac:dyDescent="0.25">
      <c r="B34" s="314"/>
      <c r="C34" s="315"/>
      <c r="D34" s="315"/>
      <c r="E34" s="315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2:15" customFormat="1" ht="15" x14ac:dyDescent="0.25">
      <c r="B35" s="314"/>
      <c r="C35" s="315"/>
      <c r="D35" s="315"/>
      <c r="E35" s="315"/>
      <c r="F35" s="27"/>
      <c r="G35" s="27"/>
      <c r="H35" s="27"/>
      <c r="I35" s="27"/>
      <c r="J35" s="27"/>
      <c r="K35" s="27"/>
      <c r="L35" s="27"/>
      <c r="M35" s="27"/>
      <c r="N35" s="27"/>
      <c r="O35" s="27"/>
    </row>
    <row r="36" spans="2:15" customFormat="1" ht="15" x14ac:dyDescent="0.25">
      <c r="B36" s="314"/>
      <c r="C36" s="315"/>
      <c r="D36" s="315"/>
      <c r="E36" s="315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7" spans="2:15" customFormat="1" ht="15" x14ac:dyDescent="0.25">
      <c r="B37" s="314"/>
      <c r="C37" s="315"/>
      <c r="D37" s="315"/>
      <c r="E37" s="315"/>
      <c r="F37" s="27"/>
      <c r="G37" s="27"/>
      <c r="H37" s="27"/>
      <c r="I37" s="27"/>
      <c r="J37" s="27"/>
      <c r="K37" s="27"/>
      <c r="L37" s="27"/>
      <c r="M37" s="27"/>
      <c r="N37" s="27"/>
      <c r="O37" s="27"/>
    </row>
    <row r="38" spans="2:15" customFormat="1" ht="15" x14ac:dyDescent="0.25">
      <c r="B38" s="314"/>
      <c r="C38" s="315"/>
      <c r="D38" s="315"/>
      <c r="E38" s="315"/>
      <c r="F38" s="27"/>
      <c r="G38" s="27"/>
      <c r="H38" s="27"/>
      <c r="I38" s="27"/>
      <c r="J38" s="27"/>
      <c r="K38" s="27"/>
      <c r="L38" s="27"/>
      <c r="M38" s="27"/>
      <c r="N38" s="27"/>
      <c r="O38" s="27"/>
    </row>
    <row r="39" spans="2:15" customFormat="1" ht="15" x14ac:dyDescent="0.25">
      <c r="B39" s="314"/>
      <c r="C39" s="315"/>
      <c r="D39" s="315"/>
      <c r="E39" s="315"/>
      <c r="F39" s="27"/>
      <c r="G39" s="27"/>
      <c r="H39" s="27"/>
      <c r="I39" s="27"/>
      <c r="J39" s="27"/>
      <c r="K39" s="27"/>
      <c r="L39" s="27"/>
      <c r="M39" s="27"/>
      <c r="N39" s="27"/>
      <c r="O39" s="27"/>
    </row>
    <row r="40" spans="2:15" customFormat="1" ht="15" x14ac:dyDescent="0.25">
      <c r="B40" s="314"/>
      <c r="C40" s="315"/>
      <c r="D40" s="315"/>
      <c r="E40" s="315"/>
      <c r="F40" s="27"/>
      <c r="G40" s="27"/>
      <c r="H40" s="27"/>
      <c r="I40" s="27"/>
      <c r="J40" s="27"/>
      <c r="K40" s="27"/>
      <c r="L40" s="27"/>
      <c r="M40" s="27"/>
      <c r="N40" s="27"/>
      <c r="O40" s="27"/>
    </row>
    <row r="41" spans="2:15" customFormat="1" ht="15" x14ac:dyDescent="0.25">
      <c r="B41" s="314"/>
      <c r="C41" s="315"/>
      <c r="D41" s="315"/>
      <c r="E41" s="315"/>
      <c r="F41" s="27"/>
      <c r="G41" s="27"/>
      <c r="H41" s="27"/>
      <c r="I41" s="27"/>
      <c r="J41" s="27"/>
      <c r="K41" s="27"/>
      <c r="L41" s="27"/>
      <c r="M41" s="27"/>
      <c r="N41" s="27"/>
      <c r="O41" s="27"/>
    </row>
    <row r="42" spans="2:15" customFormat="1" ht="15" x14ac:dyDescent="0.25">
      <c r="B42" s="317"/>
      <c r="C42" s="315"/>
      <c r="D42" s="315"/>
      <c r="E42" s="315"/>
      <c r="F42" s="27"/>
      <c r="G42" s="27"/>
      <c r="H42" s="27"/>
      <c r="I42" s="27"/>
      <c r="J42" s="27"/>
      <c r="K42" s="27"/>
      <c r="L42" s="27"/>
      <c r="M42" s="27"/>
      <c r="N42" s="27"/>
      <c r="O42" s="27"/>
    </row>
    <row r="43" spans="2:15" customFormat="1" ht="15" x14ac:dyDescent="0.25">
      <c r="B43" s="314"/>
      <c r="C43" s="315"/>
      <c r="D43" s="315"/>
      <c r="E43" s="315"/>
      <c r="F43" s="27"/>
      <c r="G43" s="27"/>
      <c r="H43" s="27"/>
      <c r="I43" s="27"/>
      <c r="J43" s="27"/>
      <c r="K43" s="27"/>
      <c r="L43" s="27"/>
      <c r="M43" s="27"/>
      <c r="N43" s="27"/>
      <c r="O43" s="27"/>
    </row>
    <row r="44" spans="2:15" customFormat="1" ht="15" x14ac:dyDescent="0.25">
      <c r="B44" s="314"/>
      <c r="C44" s="315"/>
      <c r="D44" s="315"/>
      <c r="E44" s="315"/>
      <c r="F44" s="27"/>
      <c r="G44" s="27"/>
      <c r="H44" s="27"/>
      <c r="I44" s="27"/>
      <c r="J44" s="27"/>
      <c r="K44" s="27"/>
      <c r="L44" s="27"/>
      <c r="M44" s="27"/>
      <c r="N44" s="27"/>
      <c r="O44" s="27"/>
    </row>
    <row r="45" spans="2:15" customFormat="1" ht="15" x14ac:dyDescent="0.25">
      <c r="B45" s="314"/>
      <c r="C45" s="315"/>
      <c r="D45" s="315"/>
      <c r="E45" s="315"/>
      <c r="F45" s="27"/>
      <c r="G45" s="27"/>
      <c r="H45" s="27"/>
      <c r="I45" s="27"/>
      <c r="J45" s="27"/>
      <c r="K45" s="27"/>
      <c r="L45" s="27"/>
      <c r="M45" s="27"/>
      <c r="N45" s="27"/>
      <c r="O45" s="27"/>
    </row>
    <row r="46" spans="2:15" customFormat="1" ht="15" x14ac:dyDescent="0.25">
      <c r="B46" s="31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</row>
  </sheetData>
  <mergeCells count="6">
    <mergeCell ref="B4:I4"/>
    <mergeCell ref="B6:I6"/>
    <mergeCell ref="B20:I20"/>
    <mergeCell ref="B21:I21"/>
    <mergeCell ref="B23:I23"/>
    <mergeCell ref="B22:I22"/>
  </mergeCells>
  <pageMargins left="0.55118110236220497" right="0.55118110236220497" top="0.74803149606299213" bottom="0.74803149606299213" header="0.31496062992126012" footer="0.31496062992126012"/>
  <pageSetup paperSize="9" scale="95" fitToWidth="0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B1:K62"/>
  <sheetViews>
    <sheetView workbookViewId="0"/>
  </sheetViews>
  <sheetFormatPr defaultRowHeight="12.75" x14ac:dyDescent="0.2"/>
  <cols>
    <col min="1" max="1" width="1.42578125" style="27" customWidth="1"/>
    <col min="2" max="2" width="4.85546875" style="27" customWidth="1"/>
    <col min="3" max="3" width="8" style="341" customWidth="1"/>
    <col min="4" max="4" width="32.42578125" style="27" customWidth="1"/>
    <col min="5" max="5" width="16.42578125" style="27" customWidth="1"/>
    <col min="6" max="6" width="15.85546875" style="27" customWidth="1"/>
    <col min="7" max="7" width="13.140625" style="27" customWidth="1"/>
    <col min="8" max="8" width="5.140625" style="27" customWidth="1"/>
    <col min="9" max="9" width="9.140625" style="27" customWidth="1"/>
    <col min="10" max="16384" width="9.140625" style="27"/>
  </cols>
  <sheetData>
    <row r="1" spans="2:11" s="127" customFormat="1" x14ac:dyDescent="0.25">
      <c r="C1" s="318"/>
    </row>
    <row r="2" spans="2:11" s="127" customFormat="1" x14ac:dyDescent="0.25">
      <c r="C2" s="318"/>
      <c r="E2" s="319"/>
      <c r="G2" s="320" t="s">
        <v>323</v>
      </c>
    </row>
    <row r="3" spans="2:11" s="127" customFormat="1" ht="18" x14ac:dyDescent="0.25">
      <c r="B3" s="775" t="s">
        <v>563</v>
      </c>
      <c r="C3" s="775"/>
      <c r="D3" s="775"/>
      <c r="E3" s="775"/>
      <c r="F3" s="775"/>
      <c r="G3" s="775"/>
    </row>
    <row r="4" spans="2:11" s="127" customFormat="1" ht="13.5" thickBot="1" x14ac:dyDescent="0.3">
      <c r="C4" s="318"/>
    </row>
    <row r="5" spans="2:11" s="127" customFormat="1" ht="33.75" customHeight="1" x14ac:dyDescent="0.25">
      <c r="B5" s="869" t="s">
        <v>0</v>
      </c>
      <c r="C5" s="869"/>
      <c r="D5" s="869"/>
      <c r="E5" s="321" t="s">
        <v>324</v>
      </c>
      <c r="F5" s="321" t="s">
        <v>325</v>
      </c>
      <c r="G5" s="322" t="s">
        <v>326</v>
      </c>
    </row>
    <row r="6" spans="2:11" s="67" customFormat="1" ht="24" customHeight="1" thickBot="1" x14ac:dyDescent="0.3">
      <c r="B6" s="870" t="s">
        <v>327</v>
      </c>
      <c r="C6" s="870"/>
      <c r="D6" s="870"/>
      <c r="E6" s="323">
        <f>E7+E13+E15+E18+E23+E26+E31+E36+E46</f>
        <v>44635311</v>
      </c>
      <c r="F6" s="323">
        <f>F7+F13+F15+F18+F23+F26+F31+F36+F46</f>
        <v>45673405</v>
      </c>
      <c r="G6" s="324">
        <f>G7+G13+G15+G18+G23+G26+G31+G36+G46</f>
        <v>42609587.859999999</v>
      </c>
      <c r="I6" s="325"/>
      <c r="J6" s="325"/>
      <c r="K6" s="325"/>
    </row>
    <row r="7" spans="2:11" s="127" customFormat="1" ht="13.5" thickTop="1" x14ac:dyDescent="0.25">
      <c r="B7" s="326" t="s">
        <v>328</v>
      </c>
      <c r="C7" s="871" t="s">
        <v>329</v>
      </c>
      <c r="D7" s="871"/>
      <c r="E7" s="327">
        <f>SUM(E8:E12)</f>
        <v>5608653</v>
      </c>
      <c r="F7" s="327">
        <f>SUM(F8:F12)</f>
        <v>5651522</v>
      </c>
      <c r="G7" s="328">
        <f>SUM(G8:G12)</f>
        <v>5057699.09</v>
      </c>
    </row>
    <row r="8" spans="2:11" s="127" customFormat="1" x14ac:dyDescent="0.25">
      <c r="B8" s="329"/>
      <c r="C8" s="171" t="s">
        <v>330</v>
      </c>
      <c r="D8" s="247" t="s">
        <v>331</v>
      </c>
      <c r="E8" s="330">
        <v>5285773</v>
      </c>
      <c r="F8" s="330">
        <v>5271198</v>
      </c>
      <c r="G8" s="121">
        <v>4710962.09</v>
      </c>
    </row>
    <row r="9" spans="2:11" s="127" customFormat="1" x14ac:dyDescent="0.25">
      <c r="B9" s="329"/>
      <c r="C9" s="171" t="s">
        <v>332</v>
      </c>
      <c r="D9" s="247" t="s">
        <v>333</v>
      </c>
      <c r="E9" s="330">
        <v>30680</v>
      </c>
      <c r="F9" s="330">
        <v>30680</v>
      </c>
      <c r="G9" s="121">
        <v>24981</v>
      </c>
    </row>
    <row r="10" spans="2:11" s="127" customFormat="1" ht="15" customHeight="1" x14ac:dyDescent="0.25">
      <c r="B10" s="329"/>
      <c r="C10" s="171" t="s">
        <v>334</v>
      </c>
      <c r="D10" s="247" t="s">
        <v>335</v>
      </c>
      <c r="E10" s="330">
        <v>180000</v>
      </c>
      <c r="F10" s="330">
        <v>134650</v>
      </c>
      <c r="G10" s="121">
        <v>118765</v>
      </c>
    </row>
    <row r="11" spans="2:11" s="127" customFormat="1" x14ac:dyDescent="0.25">
      <c r="B11" s="329"/>
      <c r="C11" s="171" t="s">
        <v>336</v>
      </c>
      <c r="D11" s="331" t="s">
        <v>337</v>
      </c>
      <c r="E11" s="330">
        <v>112200</v>
      </c>
      <c r="F11" s="330">
        <v>122900</v>
      </c>
      <c r="G11" s="121">
        <v>110922</v>
      </c>
    </row>
    <row r="12" spans="2:11" s="127" customFormat="1" x14ac:dyDescent="0.25">
      <c r="B12" s="329"/>
      <c r="C12" s="171" t="s">
        <v>338</v>
      </c>
      <c r="D12" s="331" t="s">
        <v>339</v>
      </c>
      <c r="E12" s="330">
        <v>0</v>
      </c>
      <c r="F12" s="330">
        <v>92094</v>
      </c>
      <c r="G12" s="121">
        <v>92069</v>
      </c>
    </row>
    <row r="13" spans="2:11" s="127" customFormat="1" x14ac:dyDescent="0.25">
      <c r="B13" s="332" t="s">
        <v>340</v>
      </c>
      <c r="C13" s="868" t="s">
        <v>341</v>
      </c>
      <c r="D13" s="868"/>
      <c r="E13" s="195">
        <f>E14</f>
        <v>9500</v>
      </c>
      <c r="F13" s="195">
        <f>F14</f>
        <v>9500</v>
      </c>
      <c r="G13" s="211">
        <f>G14</f>
        <v>8200</v>
      </c>
    </row>
    <row r="14" spans="2:11" s="127" customFormat="1" x14ac:dyDescent="0.25">
      <c r="B14" s="329"/>
      <c r="C14" s="171" t="s">
        <v>342</v>
      </c>
      <c r="D14" s="247" t="s">
        <v>343</v>
      </c>
      <c r="E14" s="330">
        <v>9500</v>
      </c>
      <c r="F14" s="330">
        <v>9500</v>
      </c>
      <c r="G14" s="121">
        <v>8200</v>
      </c>
    </row>
    <row r="15" spans="2:11" s="127" customFormat="1" x14ac:dyDescent="0.25">
      <c r="B15" s="332" t="s">
        <v>344</v>
      </c>
      <c r="C15" s="868" t="s">
        <v>345</v>
      </c>
      <c r="D15" s="868"/>
      <c r="E15" s="195">
        <f>SUM(E16:E17)</f>
        <v>1334590</v>
      </c>
      <c r="F15" s="195">
        <f>SUM(F16:F17)</f>
        <v>1346915</v>
      </c>
      <c r="G15" s="211">
        <f>SUM(G16:G17)</f>
        <v>1196136.26</v>
      </c>
    </row>
    <row r="16" spans="2:11" s="127" customFormat="1" x14ac:dyDescent="0.25">
      <c r="B16" s="329"/>
      <c r="C16" s="171" t="s">
        <v>346</v>
      </c>
      <c r="D16" s="247" t="s">
        <v>347</v>
      </c>
      <c r="E16" s="330">
        <v>1310470</v>
      </c>
      <c r="F16" s="330">
        <v>1317395</v>
      </c>
      <c r="G16" s="121">
        <v>1167685.26</v>
      </c>
    </row>
    <row r="17" spans="2:7" s="127" customFormat="1" x14ac:dyDescent="0.25">
      <c r="B17" s="329"/>
      <c r="C17" s="171" t="s">
        <v>348</v>
      </c>
      <c r="D17" s="247" t="s">
        <v>349</v>
      </c>
      <c r="E17" s="330">
        <v>24120</v>
      </c>
      <c r="F17" s="330">
        <v>29520</v>
      </c>
      <c r="G17" s="121">
        <v>28451</v>
      </c>
    </row>
    <row r="18" spans="2:7" s="127" customFormat="1" x14ac:dyDescent="0.25">
      <c r="B18" s="332" t="s">
        <v>350</v>
      </c>
      <c r="C18" s="868" t="s">
        <v>351</v>
      </c>
      <c r="D18" s="868"/>
      <c r="E18" s="195">
        <f>SUM(E19:E22)</f>
        <v>5485347</v>
      </c>
      <c r="F18" s="195">
        <f>SUM(F19:F22)</f>
        <v>5497947</v>
      </c>
      <c r="G18" s="211">
        <f>SUM(G19:G22)</f>
        <v>4715756.29</v>
      </c>
    </row>
    <row r="19" spans="2:7" s="127" customFormat="1" x14ac:dyDescent="0.25">
      <c r="B19" s="329"/>
      <c r="C19" s="171" t="s">
        <v>352</v>
      </c>
      <c r="D19" s="247" t="s">
        <v>353</v>
      </c>
      <c r="E19" s="330">
        <v>240590</v>
      </c>
      <c r="F19" s="330">
        <v>251965</v>
      </c>
      <c r="G19" s="121">
        <v>210302.29</v>
      </c>
    </row>
    <row r="20" spans="2:7" s="127" customFormat="1" x14ac:dyDescent="0.25">
      <c r="B20" s="334"/>
      <c r="C20" s="171" t="s">
        <v>354</v>
      </c>
      <c r="D20" s="171" t="s">
        <v>355</v>
      </c>
      <c r="E20" s="330">
        <v>184800</v>
      </c>
      <c r="F20" s="335">
        <v>186300</v>
      </c>
      <c r="G20" s="121">
        <v>164338</v>
      </c>
    </row>
    <row r="21" spans="2:7" s="127" customFormat="1" x14ac:dyDescent="0.25">
      <c r="B21" s="329"/>
      <c r="C21" s="171" t="s">
        <v>356</v>
      </c>
      <c r="D21" s="247" t="s">
        <v>357</v>
      </c>
      <c r="E21" s="330">
        <v>5013957</v>
      </c>
      <c r="F21" s="335">
        <v>5005182</v>
      </c>
      <c r="G21" s="121">
        <v>4291981</v>
      </c>
    </row>
    <row r="22" spans="2:7" s="127" customFormat="1" x14ac:dyDescent="0.25">
      <c r="B22" s="329"/>
      <c r="C22" s="171" t="s">
        <v>358</v>
      </c>
      <c r="D22" s="247" t="s">
        <v>359</v>
      </c>
      <c r="E22" s="330">
        <v>46000</v>
      </c>
      <c r="F22" s="335">
        <v>54500</v>
      </c>
      <c r="G22" s="121">
        <v>49135</v>
      </c>
    </row>
    <row r="23" spans="2:7" s="127" customFormat="1" x14ac:dyDescent="0.25">
      <c r="B23" s="332" t="s">
        <v>360</v>
      </c>
      <c r="C23" s="868" t="s">
        <v>361</v>
      </c>
      <c r="D23" s="868"/>
      <c r="E23" s="195">
        <f>SUM(E24:E25)</f>
        <v>2276100</v>
      </c>
      <c r="F23" s="195">
        <f>SUM(F24:F25)</f>
        <v>2276100</v>
      </c>
      <c r="G23" s="211">
        <f>SUM(G24:G25)</f>
        <v>2271925.9900000002</v>
      </c>
    </row>
    <row r="24" spans="2:7" s="127" customFormat="1" x14ac:dyDescent="0.25">
      <c r="B24" s="329"/>
      <c r="C24" s="171" t="s">
        <v>362</v>
      </c>
      <c r="D24" s="247" t="s">
        <v>363</v>
      </c>
      <c r="E24" s="330">
        <v>2252300</v>
      </c>
      <c r="F24" s="330">
        <v>2252300</v>
      </c>
      <c r="G24" s="121">
        <v>2251835.9900000002</v>
      </c>
    </row>
    <row r="25" spans="2:7" s="127" customFormat="1" x14ac:dyDescent="0.25">
      <c r="B25" s="329"/>
      <c r="C25" s="171" t="s">
        <v>364</v>
      </c>
      <c r="D25" s="247" t="s">
        <v>365</v>
      </c>
      <c r="E25" s="330">
        <v>23800</v>
      </c>
      <c r="F25" s="330">
        <v>23800</v>
      </c>
      <c r="G25" s="121">
        <v>20090</v>
      </c>
    </row>
    <row r="26" spans="2:7" s="127" customFormat="1" x14ac:dyDescent="0.25">
      <c r="B26" s="332" t="s">
        <v>366</v>
      </c>
      <c r="C26" s="868" t="s">
        <v>367</v>
      </c>
      <c r="D26" s="868"/>
      <c r="E26" s="195">
        <f>SUM(E27:E30)</f>
        <v>2744938</v>
      </c>
      <c r="F26" s="195">
        <f>SUM(F27:F30)</f>
        <v>2762709</v>
      </c>
      <c r="G26" s="211">
        <f>SUM(G27:G30)</f>
        <v>2407809.16</v>
      </c>
    </row>
    <row r="27" spans="2:7" s="127" customFormat="1" ht="14.25" customHeight="1" x14ac:dyDescent="0.25">
      <c r="B27" s="329"/>
      <c r="C27" s="171" t="s">
        <v>368</v>
      </c>
      <c r="D27" s="247" t="s">
        <v>369</v>
      </c>
      <c r="E27" s="330">
        <v>37750</v>
      </c>
      <c r="F27" s="330">
        <v>38300</v>
      </c>
      <c r="G27" s="121">
        <v>31740</v>
      </c>
    </row>
    <row r="28" spans="2:7" s="127" customFormat="1" x14ac:dyDescent="0.25">
      <c r="B28" s="329"/>
      <c r="C28" s="171" t="s">
        <v>370</v>
      </c>
      <c r="D28" s="247" t="s">
        <v>371</v>
      </c>
      <c r="E28" s="330">
        <v>1446645</v>
      </c>
      <c r="F28" s="330">
        <v>1429215</v>
      </c>
      <c r="G28" s="121">
        <v>1255313.22</v>
      </c>
    </row>
    <row r="29" spans="2:7" s="127" customFormat="1" x14ac:dyDescent="0.25">
      <c r="B29" s="329"/>
      <c r="C29" s="171" t="s">
        <v>372</v>
      </c>
      <c r="D29" s="247" t="s">
        <v>373</v>
      </c>
      <c r="E29" s="330">
        <v>752683</v>
      </c>
      <c r="F29" s="330">
        <v>751208</v>
      </c>
      <c r="G29" s="121">
        <v>693919.44</v>
      </c>
    </row>
    <row r="30" spans="2:7" s="127" customFormat="1" x14ac:dyDescent="0.25">
      <c r="B30" s="329"/>
      <c r="C30" s="171" t="s">
        <v>374</v>
      </c>
      <c r="D30" s="247" t="s">
        <v>367</v>
      </c>
      <c r="E30" s="330">
        <v>507860</v>
      </c>
      <c r="F30" s="330">
        <v>543986</v>
      </c>
      <c r="G30" s="121">
        <v>426836.5</v>
      </c>
    </row>
    <row r="31" spans="2:7" s="127" customFormat="1" x14ac:dyDescent="0.25">
      <c r="B31" s="332" t="s">
        <v>375</v>
      </c>
      <c r="C31" s="868" t="s">
        <v>376</v>
      </c>
      <c r="D31" s="868"/>
      <c r="E31" s="195">
        <f>SUM(E32:E35)</f>
        <v>3124791</v>
      </c>
      <c r="F31" s="195">
        <f>SUM(F32:F35)</f>
        <v>3222832</v>
      </c>
      <c r="G31" s="211">
        <f>SUM(G32:G35)</f>
        <v>2943888.25</v>
      </c>
    </row>
    <row r="32" spans="2:7" s="127" customFormat="1" ht="15" customHeight="1" x14ac:dyDescent="0.25">
      <c r="B32" s="329"/>
      <c r="C32" s="171" t="s">
        <v>377</v>
      </c>
      <c r="D32" s="247" t="s">
        <v>378</v>
      </c>
      <c r="E32" s="330">
        <v>2307916</v>
      </c>
      <c r="F32" s="330">
        <v>2352251</v>
      </c>
      <c r="G32" s="121">
        <v>2223681.62</v>
      </c>
    </row>
    <row r="33" spans="2:7" s="127" customFormat="1" x14ac:dyDescent="0.25">
      <c r="B33" s="329"/>
      <c r="C33" s="171" t="s">
        <v>379</v>
      </c>
      <c r="D33" s="247" t="s">
        <v>380</v>
      </c>
      <c r="E33" s="330">
        <v>574530</v>
      </c>
      <c r="F33" s="330">
        <v>614336</v>
      </c>
      <c r="G33" s="121">
        <v>518733.92</v>
      </c>
    </row>
    <row r="34" spans="2:7" s="127" customFormat="1" x14ac:dyDescent="0.25">
      <c r="B34" s="329"/>
      <c r="C34" s="171" t="s">
        <v>381</v>
      </c>
      <c r="D34" s="247" t="s">
        <v>382</v>
      </c>
      <c r="E34" s="330">
        <v>22300</v>
      </c>
      <c r="F34" s="330">
        <v>22300</v>
      </c>
      <c r="G34" s="121">
        <v>17636.38</v>
      </c>
    </row>
    <row r="35" spans="2:7" s="127" customFormat="1" x14ac:dyDescent="0.25">
      <c r="B35" s="329"/>
      <c r="C35" s="171" t="s">
        <v>383</v>
      </c>
      <c r="D35" s="247" t="s">
        <v>384</v>
      </c>
      <c r="E35" s="330">
        <v>220045</v>
      </c>
      <c r="F35" s="330">
        <v>233945</v>
      </c>
      <c r="G35" s="121">
        <v>183836.33</v>
      </c>
    </row>
    <row r="36" spans="2:7" s="127" customFormat="1" x14ac:dyDescent="0.25">
      <c r="B36" s="332" t="s">
        <v>385</v>
      </c>
      <c r="C36" s="868" t="s">
        <v>386</v>
      </c>
      <c r="D36" s="868"/>
      <c r="E36" s="195">
        <f>SUM(E37:E45)</f>
        <v>20278815</v>
      </c>
      <c r="F36" s="195">
        <f>SUM(F37:F45)</f>
        <v>21117639</v>
      </c>
      <c r="G36" s="211">
        <f>SUM(G37:G45)</f>
        <v>20458409.550000001</v>
      </c>
    </row>
    <row r="37" spans="2:7" s="127" customFormat="1" ht="25.5" x14ac:dyDescent="0.25">
      <c r="B37" s="329"/>
      <c r="C37" s="171" t="s">
        <v>387</v>
      </c>
      <c r="D37" s="247" t="s">
        <v>388</v>
      </c>
      <c r="E37" s="330">
        <v>4861580</v>
      </c>
      <c r="F37" s="330">
        <v>4838928</v>
      </c>
      <c r="G37" s="121">
        <v>4769788.79</v>
      </c>
    </row>
    <row r="38" spans="2:7" s="127" customFormat="1" ht="20.25" customHeight="1" x14ac:dyDescent="0.25">
      <c r="B38" s="329"/>
      <c r="C38" s="171" t="s">
        <v>389</v>
      </c>
      <c r="D38" s="247" t="s">
        <v>390</v>
      </c>
      <c r="E38" s="330">
        <v>3504076</v>
      </c>
      <c r="F38" s="330">
        <v>3745364</v>
      </c>
      <c r="G38" s="121">
        <v>3665018.75</v>
      </c>
    </row>
    <row r="39" spans="2:7" s="127" customFormat="1" ht="25.5" x14ac:dyDescent="0.25">
      <c r="B39" s="329"/>
      <c r="C39" s="171" t="s">
        <v>391</v>
      </c>
      <c r="D39" s="247" t="s">
        <v>392</v>
      </c>
      <c r="E39" s="330">
        <v>5398547</v>
      </c>
      <c r="F39" s="330">
        <v>5832532</v>
      </c>
      <c r="G39" s="121">
        <v>5672043.96</v>
      </c>
    </row>
    <row r="40" spans="2:7" s="127" customFormat="1" x14ac:dyDescent="0.25">
      <c r="B40" s="329"/>
      <c r="C40" s="171" t="s">
        <v>393</v>
      </c>
      <c r="D40" s="171" t="s">
        <v>394</v>
      </c>
      <c r="E40" s="330">
        <v>3129317</v>
      </c>
      <c r="F40" s="330">
        <v>3184830</v>
      </c>
      <c r="G40" s="121">
        <v>3136059.39</v>
      </c>
    </row>
    <row r="41" spans="2:7" s="127" customFormat="1" x14ac:dyDescent="0.25">
      <c r="B41" s="329"/>
      <c r="C41" s="171" t="s">
        <v>395</v>
      </c>
      <c r="D41" s="247" t="s">
        <v>396</v>
      </c>
      <c r="E41" s="330">
        <f>3127549-E42-E43-E44</f>
        <v>194725</v>
      </c>
      <c r="F41" s="330">
        <f>3459368-F42-F43-F44</f>
        <v>242444</v>
      </c>
      <c r="G41" s="330">
        <f>3172833.41-G42-G43-G44</f>
        <v>193102.66000000015</v>
      </c>
    </row>
    <row r="42" spans="2:7" s="127" customFormat="1" ht="12.75" customHeight="1" x14ac:dyDescent="0.25">
      <c r="B42" s="329"/>
      <c r="C42" s="171" t="s">
        <v>397</v>
      </c>
      <c r="D42" s="247" t="s">
        <v>396</v>
      </c>
      <c r="E42" s="330">
        <v>1125197</v>
      </c>
      <c r="F42" s="330">
        <v>1238084</v>
      </c>
      <c r="G42" s="121">
        <v>1034278.95</v>
      </c>
    </row>
    <row r="43" spans="2:7" s="127" customFormat="1" ht="12" customHeight="1" x14ac:dyDescent="0.25">
      <c r="B43" s="329"/>
      <c r="C43" s="171" t="s">
        <v>398</v>
      </c>
      <c r="D43" s="247" t="s">
        <v>399</v>
      </c>
      <c r="E43" s="330">
        <v>845717</v>
      </c>
      <c r="F43" s="330">
        <v>819803</v>
      </c>
      <c r="G43" s="121">
        <v>819801.61</v>
      </c>
    </row>
    <row r="44" spans="2:7" s="127" customFormat="1" ht="15.75" customHeight="1" x14ac:dyDescent="0.25">
      <c r="B44" s="329"/>
      <c r="C44" s="171" t="s">
        <v>400</v>
      </c>
      <c r="D44" s="247" t="s">
        <v>401</v>
      </c>
      <c r="E44" s="330">
        <v>961910</v>
      </c>
      <c r="F44" s="330">
        <v>1159037</v>
      </c>
      <c r="G44" s="121">
        <v>1125650.19</v>
      </c>
    </row>
    <row r="45" spans="2:7" s="127" customFormat="1" x14ac:dyDescent="0.25">
      <c r="B45" s="329"/>
      <c r="C45" s="171" t="s">
        <v>402</v>
      </c>
      <c r="D45" s="247" t="s">
        <v>403</v>
      </c>
      <c r="E45" s="330">
        <v>257746</v>
      </c>
      <c r="F45" s="330">
        <v>56617</v>
      </c>
      <c r="G45" s="121">
        <v>42665.25</v>
      </c>
    </row>
    <row r="46" spans="2:7" s="127" customFormat="1" x14ac:dyDescent="0.25">
      <c r="B46" s="332">
        <v>10</v>
      </c>
      <c r="C46" s="868" t="s">
        <v>404</v>
      </c>
      <c r="D46" s="868"/>
      <c r="E46" s="195">
        <f>SUM(E47:E51)</f>
        <v>3772577</v>
      </c>
      <c r="F46" s="195">
        <f>SUM(F47:F51)</f>
        <v>3788241</v>
      </c>
      <c r="G46" s="211">
        <f>SUM(G47:G51)</f>
        <v>3549763.2699999996</v>
      </c>
    </row>
    <row r="47" spans="2:7" s="127" customFormat="1" x14ac:dyDescent="0.25">
      <c r="B47" s="336"/>
      <c r="C47" s="171" t="s">
        <v>405</v>
      </c>
      <c r="D47" s="247" t="s">
        <v>406</v>
      </c>
      <c r="E47" s="330">
        <v>2265168</v>
      </c>
      <c r="F47" s="330">
        <v>2320891</v>
      </c>
      <c r="G47" s="121">
        <v>2199438.02</v>
      </c>
    </row>
    <row r="48" spans="2:7" s="127" customFormat="1" x14ac:dyDescent="0.25">
      <c r="B48" s="329"/>
      <c r="C48" s="171" t="s">
        <v>407</v>
      </c>
      <c r="D48" s="247" t="s">
        <v>408</v>
      </c>
      <c r="E48" s="330">
        <v>743760</v>
      </c>
      <c r="F48" s="330">
        <v>776238</v>
      </c>
      <c r="G48" s="121">
        <v>737564.4</v>
      </c>
    </row>
    <row r="49" spans="2:11" s="127" customFormat="1" x14ac:dyDescent="0.25">
      <c r="B49" s="329"/>
      <c r="C49" s="171" t="s">
        <v>409</v>
      </c>
      <c r="D49" s="247" t="s">
        <v>410</v>
      </c>
      <c r="E49" s="330">
        <v>262769</v>
      </c>
      <c r="F49" s="330">
        <v>237512</v>
      </c>
      <c r="G49" s="121">
        <v>211903.5</v>
      </c>
    </row>
    <row r="50" spans="2:11" s="127" customFormat="1" ht="25.5" x14ac:dyDescent="0.25">
      <c r="B50" s="329"/>
      <c r="C50" s="171" t="s">
        <v>411</v>
      </c>
      <c r="D50" s="247" t="s">
        <v>412</v>
      </c>
      <c r="E50" s="330">
        <v>150665</v>
      </c>
      <c r="F50" s="330">
        <v>137965</v>
      </c>
      <c r="G50" s="121">
        <v>117259.53</v>
      </c>
    </row>
    <row r="51" spans="2:11" s="127" customFormat="1" ht="13.5" thickBot="1" x14ac:dyDescent="0.3">
      <c r="B51" s="337"/>
      <c r="C51" s="338" t="s">
        <v>413</v>
      </c>
      <c r="D51" s="338" t="s">
        <v>414</v>
      </c>
      <c r="E51" s="339">
        <v>350215</v>
      </c>
      <c r="F51" s="339">
        <v>315635</v>
      </c>
      <c r="G51" s="340">
        <v>283597.82</v>
      </c>
    </row>
    <row r="52" spans="2:11" s="127" customFormat="1" x14ac:dyDescent="0.2">
      <c r="B52" s="27"/>
      <c r="C52" s="341"/>
      <c r="D52" s="27"/>
      <c r="E52" s="27"/>
      <c r="F52" s="27"/>
      <c r="G52" s="27"/>
    </row>
    <row r="53" spans="2:11" s="127" customFormat="1" x14ac:dyDescent="0.2">
      <c r="B53" s="27"/>
      <c r="C53" s="341"/>
      <c r="D53" s="27"/>
      <c r="E53" s="27"/>
      <c r="F53" s="148"/>
      <c r="G53" s="148"/>
    </row>
    <row r="54" spans="2:11" s="127" customFormat="1" x14ac:dyDescent="0.2">
      <c r="B54" s="27"/>
      <c r="C54" s="341"/>
      <c r="D54" s="27"/>
      <c r="E54" s="27"/>
      <c r="F54" s="27"/>
      <c r="G54" s="148"/>
    </row>
    <row r="55" spans="2:11" s="127" customFormat="1" x14ac:dyDescent="0.2">
      <c r="B55" s="27"/>
      <c r="C55" s="341"/>
      <c r="D55" s="27"/>
      <c r="E55" s="27"/>
      <c r="F55" s="27"/>
      <c r="G55" s="27"/>
    </row>
    <row r="56" spans="2:11" s="127" customFormat="1" ht="26.25" customHeight="1" x14ac:dyDescent="0.2">
      <c r="B56" s="27"/>
      <c r="C56" s="341"/>
      <c r="D56" s="27"/>
      <c r="E56" s="27"/>
      <c r="F56" s="27"/>
      <c r="G56" s="27"/>
    </row>
    <row r="57" spans="2:11" s="127" customFormat="1" x14ac:dyDescent="0.2">
      <c r="B57" s="27"/>
      <c r="C57" s="341"/>
      <c r="D57" s="27"/>
      <c r="E57" s="27"/>
      <c r="F57" s="175"/>
      <c r="G57" s="27"/>
    </row>
    <row r="58" spans="2:11" s="127" customFormat="1" x14ac:dyDescent="0.2">
      <c r="B58" s="27"/>
      <c r="C58" s="341"/>
      <c r="D58" s="27"/>
      <c r="E58" s="27"/>
      <c r="F58" s="175"/>
      <c r="G58" s="27"/>
    </row>
    <row r="59" spans="2:11" customFormat="1" ht="15" x14ac:dyDescent="0.25">
      <c r="B59" s="27"/>
      <c r="C59" s="341"/>
      <c r="D59" s="27"/>
      <c r="E59" s="27"/>
      <c r="F59" s="175"/>
      <c r="G59" s="27"/>
      <c r="H59" s="27"/>
      <c r="I59" s="27"/>
      <c r="J59" s="27"/>
      <c r="K59" s="27"/>
    </row>
    <row r="60" spans="2:11" customFormat="1" ht="15" x14ac:dyDescent="0.25">
      <c r="B60" s="27"/>
      <c r="C60" s="341"/>
      <c r="D60" s="27"/>
      <c r="E60" s="27"/>
      <c r="F60" s="175"/>
      <c r="G60" s="27"/>
      <c r="H60" s="27"/>
      <c r="I60" s="27"/>
      <c r="J60" s="27"/>
      <c r="K60" s="27"/>
    </row>
    <row r="61" spans="2:11" customFormat="1" ht="15" x14ac:dyDescent="0.25">
      <c r="B61" s="27"/>
      <c r="C61" s="341"/>
      <c r="D61" s="27"/>
      <c r="E61" s="27"/>
      <c r="F61" s="175"/>
      <c r="G61" s="27"/>
      <c r="H61" s="27"/>
      <c r="I61" s="27"/>
      <c r="J61" s="27"/>
      <c r="K61" s="27"/>
    </row>
    <row r="62" spans="2:11" customFormat="1" ht="15" x14ac:dyDescent="0.25">
      <c r="B62" s="27"/>
      <c r="C62" s="341"/>
      <c r="D62" s="27"/>
      <c r="E62" s="27"/>
      <c r="F62" s="342"/>
      <c r="G62" s="27"/>
      <c r="H62" s="27"/>
      <c r="I62" s="27"/>
      <c r="J62" s="27"/>
      <c r="K62" s="27"/>
    </row>
  </sheetData>
  <mergeCells count="12">
    <mergeCell ref="C46:D46"/>
    <mergeCell ref="B3:G3"/>
    <mergeCell ref="B5:D5"/>
    <mergeCell ref="B6:D6"/>
    <mergeCell ref="C7:D7"/>
    <mergeCell ref="C13:D13"/>
    <mergeCell ref="C15:D15"/>
    <mergeCell ref="C18:D18"/>
    <mergeCell ref="C23:D23"/>
    <mergeCell ref="C26:D26"/>
    <mergeCell ref="C31:D31"/>
    <mergeCell ref="C36:D36"/>
  </mergeCells>
  <pageMargins left="0.55118110236220497" right="0.19685039370078702" top="0.70866141732283405" bottom="0.39370078740157516" header="0.27559055118110198" footer="0.31496062992126012"/>
  <pageSetup paperSize="9" scale="97" fitToWidth="0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B2:G39"/>
  <sheetViews>
    <sheetView workbookViewId="0"/>
  </sheetViews>
  <sheetFormatPr defaultRowHeight="12.75" x14ac:dyDescent="0.2"/>
  <cols>
    <col min="1" max="1" width="2.5703125" style="27" customWidth="1"/>
    <col min="2" max="2" width="3.42578125" style="27" customWidth="1"/>
    <col min="3" max="3" width="8.7109375" style="27" customWidth="1"/>
    <col min="4" max="4" width="33.140625" style="27" customWidth="1"/>
    <col min="5" max="5" width="14.42578125" style="27" customWidth="1"/>
    <col min="6" max="6" width="14.5703125" style="27" customWidth="1"/>
    <col min="7" max="7" width="16" style="27" customWidth="1"/>
    <col min="8" max="8" width="8.85546875" style="27" customWidth="1"/>
    <col min="9" max="9" width="9.140625" style="27" customWidth="1"/>
    <col min="10" max="16384" width="9.140625" style="27"/>
  </cols>
  <sheetData>
    <row r="2" spans="2:7" ht="14.25" x14ac:dyDescent="0.2">
      <c r="C2" s="67"/>
      <c r="D2" s="343"/>
      <c r="E2" s="325"/>
      <c r="F2" s="325"/>
      <c r="G2" s="320" t="s">
        <v>415</v>
      </c>
    </row>
    <row r="3" spans="2:7" ht="14.25" x14ac:dyDescent="0.2">
      <c r="C3" s="67"/>
      <c r="D3" s="343"/>
      <c r="E3" s="67"/>
      <c r="F3" s="67"/>
      <c r="G3" s="325"/>
    </row>
    <row r="4" spans="2:7" ht="18" x14ac:dyDescent="0.2">
      <c r="B4" s="775" t="s">
        <v>564</v>
      </c>
      <c r="C4" s="775"/>
      <c r="D4" s="775"/>
      <c r="E4" s="775"/>
      <c r="F4" s="775"/>
      <c r="G4" s="775"/>
    </row>
    <row r="5" spans="2:7" ht="21" thickBot="1" x14ac:dyDescent="0.25">
      <c r="C5" s="344"/>
      <c r="D5" s="344"/>
      <c r="E5" s="344"/>
      <c r="F5" s="344"/>
      <c r="G5" s="344"/>
    </row>
    <row r="6" spans="2:7" ht="30" customHeight="1" x14ac:dyDescent="0.2">
      <c r="B6" s="869" t="s">
        <v>0</v>
      </c>
      <c r="C6" s="869"/>
      <c r="D6" s="869"/>
      <c r="E6" s="321" t="s">
        <v>324</v>
      </c>
      <c r="F6" s="321" t="s">
        <v>325</v>
      </c>
      <c r="G6" s="322" t="s">
        <v>326</v>
      </c>
    </row>
    <row r="7" spans="2:7" s="67" customFormat="1" ht="17.25" customHeight="1" thickBot="1" x14ac:dyDescent="0.3">
      <c r="B7" s="870" t="s">
        <v>416</v>
      </c>
      <c r="C7" s="870"/>
      <c r="D7" s="870"/>
      <c r="E7" s="323">
        <f>E8+E13+E16+E19+E24+E28+E10+E34</f>
        <v>11321276</v>
      </c>
      <c r="F7" s="323">
        <f>F8+F13+F16+F19+F24+F28+F10+F34</f>
        <v>13991783</v>
      </c>
      <c r="G7" s="324">
        <f>G8+G13+G16+G19+G24+G28+G10+G34</f>
        <v>9003435.3499999996</v>
      </c>
    </row>
    <row r="8" spans="2:7" ht="12.75" customHeight="1" thickTop="1" x14ac:dyDescent="0.2">
      <c r="B8" s="345" t="s">
        <v>328</v>
      </c>
      <c r="C8" s="873" t="s">
        <v>329</v>
      </c>
      <c r="D8" s="873"/>
      <c r="E8" s="168">
        <f>E9</f>
        <v>1337186</v>
      </c>
      <c r="F8" s="168">
        <f>F9</f>
        <v>2188041</v>
      </c>
      <c r="G8" s="346">
        <f>G9</f>
        <v>1154672.7</v>
      </c>
    </row>
    <row r="9" spans="2:7" ht="15" customHeight="1" x14ac:dyDescent="0.2">
      <c r="B9" s="347"/>
      <c r="C9" s="348" t="s">
        <v>330</v>
      </c>
      <c r="D9" s="247" t="s">
        <v>331</v>
      </c>
      <c r="E9" s="330">
        <v>1337186</v>
      </c>
      <c r="F9" s="330">
        <v>2188041</v>
      </c>
      <c r="G9" s="121">
        <v>1154672.7</v>
      </c>
    </row>
    <row r="10" spans="2:7" ht="12.75" customHeight="1" x14ac:dyDescent="0.2">
      <c r="B10" s="332" t="s">
        <v>344</v>
      </c>
      <c r="C10" s="868" t="s">
        <v>345</v>
      </c>
      <c r="D10" s="868"/>
      <c r="E10" s="195">
        <f>E11+E12</f>
        <v>65200</v>
      </c>
      <c r="F10" s="195">
        <f t="shared" ref="F10:G10" si="0">F11+F12</f>
        <v>63900</v>
      </c>
      <c r="G10" s="195">
        <f t="shared" si="0"/>
        <v>58858</v>
      </c>
    </row>
    <row r="11" spans="2:7" x14ac:dyDescent="0.2">
      <c r="B11" s="329"/>
      <c r="C11" s="349" t="s">
        <v>346</v>
      </c>
      <c r="D11" s="247" t="s">
        <v>347</v>
      </c>
      <c r="E11" s="9">
        <v>65200</v>
      </c>
      <c r="F11" s="9">
        <v>53900</v>
      </c>
      <c r="G11" s="32">
        <v>48908</v>
      </c>
    </row>
    <row r="12" spans="2:7" s="524" customFormat="1" x14ac:dyDescent="0.2">
      <c r="B12" s="329"/>
      <c r="C12" s="349" t="s">
        <v>348</v>
      </c>
      <c r="D12" s="247" t="s">
        <v>349</v>
      </c>
      <c r="E12" s="9">
        <v>0</v>
      </c>
      <c r="F12" s="9">
        <v>10000</v>
      </c>
      <c r="G12" s="32">
        <v>9950</v>
      </c>
    </row>
    <row r="13" spans="2:7" x14ac:dyDescent="0.2">
      <c r="B13" s="350" t="s">
        <v>350</v>
      </c>
      <c r="C13" s="872" t="s">
        <v>351</v>
      </c>
      <c r="D13" s="872"/>
      <c r="E13" s="170">
        <f>E14+E15</f>
        <v>4476052</v>
      </c>
      <c r="F13" s="170">
        <f>F14+F15</f>
        <v>4641861</v>
      </c>
      <c r="G13" s="352">
        <f>G14+G15</f>
        <v>2812191</v>
      </c>
    </row>
    <row r="14" spans="2:7" customFormat="1" ht="12.75" customHeight="1" x14ac:dyDescent="0.25">
      <c r="B14" s="353"/>
      <c r="C14" s="348" t="s">
        <v>354</v>
      </c>
      <c r="D14" s="171" t="s">
        <v>355</v>
      </c>
      <c r="E14" s="335">
        <v>105000</v>
      </c>
      <c r="F14" s="335">
        <v>109800</v>
      </c>
      <c r="G14" s="124">
        <v>9019</v>
      </c>
    </row>
    <row r="15" spans="2:7" customFormat="1" ht="15" x14ac:dyDescent="0.25">
      <c r="B15" s="347"/>
      <c r="C15" s="354" t="s">
        <v>356</v>
      </c>
      <c r="D15" s="355" t="s">
        <v>357</v>
      </c>
      <c r="E15" s="335">
        <v>4371052</v>
      </c>
      <c r="F15" s="335">
        <v>4532061</v>
      </c>
      <c r="G15" s="124">
        <v>2803172</v>
      </c>
    </row>
    <row r="16" spans="2:7" customFormat="1" ht="12.75" customHeight="1" x14ac:dyDescent="0.25">
      <c r="B16" s="350" t="s">
        <v>360</v>
      </c>
      <c r="C16" s="872" t="s">
        <v>361</v>
      </c>
      <c r="D16" s="872"/>
      <c r="E16" s="170">
        <f>E17+E18</f>
        <v>250060</v>
      </c>
      <c r="F16" s="170">
        <f>F17+F18</f>
        <v>271070</v>
      </c>
      <c r="G16" s="352">
        <f>G17+G18</f>
        <v>170950</v>
      </c>
    </row>
    <row r="17" spans="2:7" customFormat="1" ht="15" x14ac:dyDescent="0.25">
      <c r="B17" s="347"/>
      <c r="C17" s="354" t="s">
        <v>362</v>
      </c>
      <c r="D17" s="355" t="s">
        <v>363</v>
      </c>
      <c r="E17" s="9">
        <v>165060</v>
      </c>
      <c r="F17" s="9">
        <v>208070</v>
      </c>
      <c r="G17" s="32">
        <v>170950</v>
      </c>
    </row>
    <row r="18" spans="2:7" customFormat="1" ht="15" x14ac:dyDescent="0.25">
      <c r="B18" s="347"/>
      <c r="C18" s="348" t="s">
        <v>364</v>
      </c>
      <c r="D18" s="247" t="s">
        <v>365</v>
      </c>
      <c r="E18" s="330">
        <v>85000</v>
      </c>
      <c r="F18" s="330">
        <v>63000</v>
      </c>
      <c r="G18" s="121">
        <v>0</v>
      </c>
    </row>
    <row r="19" spans="2:7" customFormat="1" ht="15" x14ac:dyDescent="0.25">
      <c r="B19" s="350" t="s">
        <v>366</v>
      </c>
      <c r="C19" s="872" t="s">
        <v>367</v>
      </c>
      <c r="D19" s="872"/>
      <c r="E19" s="170">
        <f>SUM(E20:E23)</f>
        <v>861041</v>
      </c>
      <c r="F19" s="170">
        <f>SUM(F20:F23)</f>
        <v>959201</v>
      </c>
      <c r="G19" s="352">
        <f>SUM(G20:G23)</f>
        <v>803655.78999999992</v>
      </c>
    </row>
    <row r="20" spans="2:7" customFormat="1" ht="15" x14ac:dyDescent="0.25">
      <c r="B20" s="347"/>
      <c r="C20" s="348" t="s">
        <v>368</v>
      </c>
      <c r="D20" s="247" t="s">
        <v>369</v>
      </c>
      <c r="E20" s="330">
        <v>414720</v>
      </c>
      <c r="F20" s="330">
        <v>414720</v>
      </c>
      <c r="G20" s="121">
        <v>414720</v>
      </c>
    </row>
    <row r="21" spans="2:7" customFormat="1" ht="12.75" customHeight="1" x14ac:dyDescent="0.25">
      <c r="B21" s="347"/>
      <c r="C21" s="354" t="s">
        <v>370</v>
      </c>
      <c r="D21" s="355" t="s">
        <v>371</v>
      </c>
      <c r="E21" s="9">
        <v>350821</v>
      </c>
      <c r="F21" s="9">
        <v>454171</v>
      </c>
      <c r="G21" s="32">
        <v>300987.71000000002</v>
      </c>
    </row>
    <row r="22" spans="2:7" customFormat="1" ht="15" x14ac:dyDescent="0.25">
      <c r="B22" s="347"/>
      <c r="C22" s="354" t="s">
        <v>372</v>
      </c>
      <c r="D22" s="355" t="s">
        <v>373</v>
      </c>
      <c r="E22" s="9">
        <v>26500</v>
      </c>
      <c r="F22" s="9">
        <v>45510</v>
      </c>
      <c r="G22" s="32">
        <v>43368.88</v>
      </c>
    </row>
    <row r="23" spans="2:7" customFormat="1" ht="15" x14ac:dyDescent="0.25">
      <c r="B23" s="347"/>
      <c r="C23" s="348" t="s">
        <v>374</v>
      </c>
      <c r="D23" s="247" t="s">
        <v>367</v>
      </c>
      <c r="E23" s="330">
        <v>69000</v>
      </c>
      <c r="F23" s="330">
        <v>44800</v>
      </c>
      <c r="G23" s="121">
        <v>44579.199999999997</v>
      </c>
    </row>
    <row r="24" spans="2:7" customFormat="1" ht="16.5" customHeight="1" x14ac:dyDescent="0.25">
      <c r="B24" s="332" t="s">
        <v>375</v>
      </c>
      <c r="C24" s="868" t="s">
        <v>376</v>
      </c>
      <c r="D24" s="868"/>
      <c r="E24" s="195">
        <f>SUM(E25:E27)</f>
        <v>2273509</v>
      </c>
      <c r="F24" s="195">
        <f>SUM(F25:F27)</f>
        <v>3513627</v>
      </c>
      <c r="G24" s="211">
        <f>SUM(G25:G27)</f>
        <v>2247462.86</v>
      </c>
    </row>
    <row r="25" spans="2:7" customFormat="1" ht="15" x14ac:dyDescent="0.25">
      <c r="B25" s="347"/>
      <c r="C25" s="354" t="s">
        <v>377</v>
      </c>
      <c r="D25" s="355" t="s">
        <v>378</v>
      </c>
      <c r="E25" s="9">
        <v>2191489</v>
      </c>
      <c r="F25" s="9">
        <v>3392209</v>
      </c>
      <c r="G25" s="32">
        <v>2129909.39</v>
      </c>
    </row>
    <row r="26" spans="2:7" customFormat="1" ht="15" x14ac:dyDescent="0.25">
      <c r="B26" s="329"/>
      <c r="C26" s="348" t="s">
        <v>379</v>
      </c>
      <c r="D26" s="247" t="s">
        <v>417</v>
      </c>
      <c r="E26" s="9">
        <v>61020</v>
      </c>
      <c r="F26" s="9">
        <v>85418</v>
      </c>
      <c r="G26" s="32">
        <v>81793.59</v>
      </c>
    </row>
    <row r="27" spans="2:7" customFormat="1" ht="15" x14ac:dyDescent="0.25">
      <c r="B27" s="347"/>
      <c r="C27" s="354" t="s">
        <v>383</v>
      </c>
      <c r="D27" s="355" t="s">
        <v>418</v>
      </c>
      <c r="E27" s="9">
        <v>21000</v>
      </c>
      <c r="F27" s="9">
        <v>36000</v>
      </c>
      <c r="G27" s="32">
        <v>35759.879999999997</v>
      </c>
    </row>
    <row r="28" spans="2:7" customFormat="1" ht="21.75" customHeight="1" x14ac:dyDescent="0.25">
      <c r="B28" s="332" t="s">
        <v>385</v>
      </c>
      <c r="C28" s="868" t="s">
        <v>386</v>
      </c>
      <c r="D28" s="868"/>
      <c r="E28" s="195">
        <f>SUM(E29:E33)</f>
        <v>1831228</v>
      </c>
      <c r="F28" s="195">
        <f>SUM(F29:F33)</f>
        <v>2128583</v>
      </c>
      <c r="G28" s="211">
        <f>SUM(G29:G33)</f>
        <v>1741737.24</v>
      </c>
    </row>
    <row r="29" spans="2:7" customFormat="1" ht="28.5" customHeight="1" x14ac:dyDescent="0.25">
      <c r="B29" s="347"/>
      <c r="C29" s="247" t="s">
        <v>387</v>
      </c>
      <c r="D29" s="171" t="s">
        <v>388</v>
      </c>
      <c r="E29" s="330">
        <v>1084634</v>
      </c>
      <c r="F29" s="330">
        <v>1278893</v>
      </c>
      <c r="G29" s="121">
        <v>1263827</v>
      </c>
    </row>
    <row r="30" spans="2:7" customFormat="1" ht="25.5" x14ac:dyDescent="0.25">
      <c r="B30" s="356"/>
      <c r="C30" s="256" t="s">
        <v>391</v>
      </c>
      <c r="D30" s="247" t="s">
        <v>392</v>
      </c>
      <c r="E30" s="330">
        <v>724377</v>
      </c>
      <c r="F30" s="330">
        <v>764127</v>
      </c>
      <c r="G30" s="121">
        <v>392473.81</v>
      </c>
    </row>
    <row r="31" spans="2:7" customFormat="1" ht="25.5" x14ac:dyDescent="0.25">
      <c r="B31" s="347"/>
      <c r="C31" s="247" t="s">
        <v>419</v>
      </c>
      <c r="D31" s="171" t="s">
        <v>420</v>
      </c>
      <c r="E31" s="330">
        <v>22217</v>
      </c>
      <c r="F31" s="330">
        <v>4900</v>
      </c>
      <c r="G31" s="121">
        <v>4900</v>
      </c>
    </row>
    <row r="32" spans="2:7" customFormat="1" ht="15" x14ac:dyDescent="0.25">
      <c r="B32" s="356"/>
      <c r="C32" s="256" t="s">
        <v>398</v>
      </c>
      <c r="D32" s="357" t="s">
        <v>421</v>
      </c>
      <c r="E32" s="358">
        <v>0</v>
      </c>
      <c r="F32" s="358">
        <v>16000</v>
      </c>
      <c r="G32" s="359">
        <v>16000</v>
      </c>
    </row>
    <row r="33" spans="2:7" customFormat="1" ht="15" x14ac:dyDescent="0.25">
      <c r="B33" s="356"/>
      <c r="C33" s="357" t="s">
        <v>400</v>
      </c>
      <c r="D33" s="256" t="s">
        <v>401</v>
      </c>
      <c r="E33" s="358">
        <v>0</v>
      </c>
      <c r="F33" s="358">
        <v>64663</v>
      </c>
      <c r="G33" s="359">
        <v>64536.43</v>
      </c>
    </row>
    <row r="34" spans="2:7" customFormat="1" ht="15" x14ac:dyDescent="0.25">
      <c r="B34" s="332" t="s">
        <v>422</v>
      </c>
      <c r="C34" s="868" t="s">
        <v>404</v>
      </c>
      <c r="D34" s="868"/>
      <c r="E34" s="195">
        <f>E35+E36</f>
        <v>227000</v>
      </c>
      <c r="F34" s="195">
        <f>F35+F36</f>
        <v>225500</v>
      </c>
      <c r="G34" s="195">
        <f>G35+G36</f>
        <v>13907.76</v>
      </c>
    </row>
    <row r="35" spans="2:7" customFormat="1" ht="25.5" x14ac:dyDescent="0.25">
      <c r="B35" s="347"/>
      <c r="C35" s="348" t="s">
        <v>411</v>
      </c>
      <c r="D35" s="247" t="s">
        <v>423</v>
      </c>
      <c r="E35" s="330">
        <v>10000</v>
      </c>
      <c r="F35" s="330">
        <v>8500</v>
      </c>
      <c r="G35" s="121">
        <v>8329</v>
      </c>
    </row>
    <row r="36" spans="2:7" customFormat="1" ht="26.25" thickBot="1" x14ac:dyDescent="0.3">
      <c r="B36" s="360"/>
      <c r="C36" s="361" t="s">
        <v>405</v>
      </c>
      <c r="D36" s="362" t="s">
        <v>424</v>
      </c>
      <c r="E36" s="339">
        <v>217000</v>
      </c>
      <c r="F36" s="339">
        <v>217000</v>
      </c>
      <c r="G36" s="340">
        <v>5578.76</v>
      </c>
    </row>
    <row r="38" spans="2:7" customFormat="1" ht="15" x14ac:dyDescent="0.25">
      <c r="B38" s="27"/>
      <c r="C38" s="27"/>
      <c r="D38" s="27"/>
      <c r="E38" s="27"/>
      <c r="F38" s="148"/>
      <c r="G38" s="27"/>
    </row>
    <row r="39" spans="2:7" customFormat="1" ht="15" x14ac:dyDescent="0.25">
      <c r="B39" s="27"/>
      <c r="C39" s="27"/>
      <c r="D39" s="27"/>
      <c r="E39" s="148"/>
      <c r="F39" s="27"/>
      <c r="G39" s="27"/>
    </row>
  </sheetData>
  <mergeCells count="11">
    <mergeCell ref="C16:D16"/>
    <mergeCell ref="C19:D19"/>
    <mergeCell ref="C24:D24"/>
    <mergeCell ref="C28:D28"/>
    <mergeCell ref="C34:D34"/>
    <mergeCell ref="C13:D13"/>
    <mergeCell ref="B4:G4"/>
    <mergeCell ref="B6:D6"/>
    <mergeCell ref="B7:D7"/>
    <mergeCell ref="C8:D8"/>
    <mergeCell ref="C10:D10"/>
  </mergeCells>
  <pageMargins left="0.63000000000000012" right="0.29000000000000004" top="0.96000000000000019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J68"/>
  <sheetViews>
    <sheetView workbookViewId="0"/>
  </sheetViews>
  <sheetFormatPr defaultRowHeight="14.25" x14ac:dyDescent="0.2"/>
  <cols>
    <col min="1" max="1" width="5.140625" style="1" customWidth="1"/>
    <col min="2" max="2" width="24.140625" style="1" customWidth="1"/>
    <col min="3" max="3" width="13.28515625" style="1" customWidth="1"/>
    <col min="4" max="4" width="12.85546875" style="1" customWidth="1"/>
    <col min="5" max="5" width="12.7109375" style="1" customWidth="1"/>
    <col min="6" max="6" width="12.28515625" style="1" customWidth="1"/>
    <col min="7" max="8" width="12.7109375" style="1" customWidth="1"/>
    <col min="9" max="9" width="11.42578125" style="1" customWidth="1"/>
    <col min="10" max="10" width="9.140625" style="1" customWidth="1"/>
    <col min="11" max="16384" width="9.140625" style="1"/>
  </cols>
  <sheetData>
    <row r="1" spans="2:9" x14ac:dyDescent="0.2">
      <c r="H1" s="27" t="s">
        <v>45</v>
      </c>
    </row>
    <row r="2" spans="2:9" ht="20.25" x14ac:dyDescent="0.3">
      <c r="B2" s="771" t="s">
        <v>46</v>
      </c>
      <c r="C2" s="771"/>
      <c r="D2" s="771"/>
      <c r="E2" s="771"/>
      <c r="F2" s="771"/>
      <c r="G2" s="771"/>
      <c r="H2" s="771"/>
    </row>
    <row r="3" spans="2:9" ht="7.5" customHeight="1" thickBot="1" x14ac:dyDescent="0.25"/>
    <row r="4" spans="2:9" ht="15.75" thickBot="1" x14ac:dyDescent="0.3">
      <c r="B4" s="28" t="s">
        <v>47</v>
      </c>
      <c r="C4" s="29"/>
      <c r="D4" s="29"/>
      <c r="E4" s="30">
        <f>SUM(E5:E12)</f>
        <v>687257.66</v>
      </c>
    </row>
    <row r="5" spans="2:9" ht="15" thickTop="1" x14ac:dyDescent="0.2">
      <c r="B5" s="772" t="s">
        <v>48</v>
      </c>
      <c r="C5" s="772"/>
      <c r="D5" s="772"/>
      <c r="E5" s="31">
        <v>61987.8</v>
      </c>
    </row>
    <row r="6" spans="2:9" ht="16.5" customHeight="1" x14ac:dyDescent="0.2">
      <c r="B6" s="773" t="s">
        <v>49</v>
      </c>
      <c r="C6" s="773"/>
      <c r="D6" s="773"/>
      <c r="E6" s="32">
        <v>361.56</v>
      </c>
    </row>
    <row r="7" spans="2:9" ht="15" customHeight="1" x14ac:dyDescent="0.2">
      <c r="B7" s="773" t="s">
        <v>50</v>
      </c>
      <c r="C7" s="773"/>
      <c r="D7" s="773"/>
      <c r="E7" s="32">
        <v>558685.76</v>
      </c>
    </row>
    <row r="8" spans="2:9" ht="15" customHeight="1" x14ac:dyDescent="0.2">
      <c r="B8" s="773" t="s">
        <v>51</v>
      </c>
      <c r="C8" s="773"/>
      <c r="D8" s="773"/>
      <c r="E8" s="32">
        <f>2122.15+5233.25</f>
        <v>7355.4</v>
      </c>
    </row>
    <row r="9" spans="2:9" x14ac:dyDescent="0.2">
      <c r="B9" s="770" t="s">
        <v>52</v>
      </c>
      <c r="C9" s="770"/>
      <c r="D9" s="770"/>
      <c r="E9" s="33">
        <v>1941.66</v>
      </c>
    </row>
    <row r="10" spans="2:9" x14ac:dyDescent="0.2">
      <c r="B10" s="34" t="s">
        <v>53</v>
      </c>
      <c r="C10" s="35"/>
      <c r="D10" s="35"/>
      <c r="E10" s="36">
        <v>51.74</v>
      </c>
    </row>
    <row r="11" spans="2:9" x14ac:dyDescent="0.2">
      <c r="B11" s="34" t="s">
        <v>54</v>
      </c>
      <c r="C11" s="35"/>
      <c r="D11" s="35"/>
      <c r="E11" s="36">
        <v>3223.74</v>
      </c>
    </row>
    <row r="12" spans="2:9" ht="15" thickBot="1" x14ac:dyDescent="0.25">
      <c r="B12" s="37" t="s">
        <v>55</v>
      </c>
      <c r="C12" s="38"/>
      <c r="D12" s="38"/>
      <c r="E12" s="39">
        <v>53650</v>
      </c>
    </row>
    <row r="13" spans="2:9" ht="9.75" customHeight="1" x14ac:dyDescent="0.25">
      <c r="B13" s="40"/>
      <c r="C13" s="40"/>
      <c r="D13" s="40"/>
      <c r="E13" s="41"/>
    </row>
    <row r="14" spans="2:9" ht="13.5" customHeight="1" thickBot="1" x14ac:dyDescent="0.25">
      <c r="B14" s="42"/>
      <c r="C14" s="42"/>
    </row>
    <row r="15" spans="2:9" s="43" customFormat="1" ht="79.5" thickBot="1" x14ac:dyDescent="0.3">
      <c r="B15" s="44" t="s">
        <v>56</v>
      </c>
      <c r="C15" s="45" t="s">
        <v>57</v>
      </c>
      <c r="D15" s="45" t="s">
        <v>58</v>
      </c>
      <c r="E15" s="45" t="s">
        <v>59</v>
      </c>
      <c r="F15" s="45" t="s">
        <v>60</v>
      </c>
      <c r="G15" s="46" t="s">
        <v>61</v>
      </c>
      <c r="H15" s="433"/>
      <c r="I15" s="47"/>
    </row>
    <row r="16" spans="2:9" ht="15" thickTop="1" x14ac:dyDescent="0.2">
      <c r="B16" s="48" t="s">
        <v>62</v>
      </c>
      <c r="C16" s="49">
        <v>28464.63</v>
      </c>
      <c r="D16" s="49">
        <v>22625.05</v>
      </c>
      <c r="E16" s="49">
        <v>0</v>
      </c>
      <c r="F16" s="49">
        <v>46313.91</v>
      </c>
      <c r="G16" s="50">
        <v>77574.28</v>
      </c>
      <c r="H16" s="434"/>
      <c r="I16" s="51"/>
    </row>
    <row r="17" spans="2:9" x14ac:dyDescent="0.2">
      <c r="B17" s="52" t="s">
        <v>63</v>
      </c>
      <c r="C17" s="53">
        <v>9916.83</v>
      </c>
      <c r="D17" s="53">
        <v>8686.76</v>
      </c>
      <c r="E17" s="53">
        <v>0</v>
      </c>
      <c r="F17" s="53">
        <v>19516.47</v>
      </c>
      <c r="G17" s="54">
        <v>27792.74</v>
      </c>
      <c r="H17" s="434"/>
      <c r="I17" s="51"/>
    </row>
    <row r="18" spans="2:9" x14ac:dyDescent="0.2">
      <c r="B18" s="52" t="s">
        <v>64</v>
      </c>
      <c r="C18" s="53">
        <f>C19+C20+C21+C22+C23+C24</f>
        <v>13883.57</v>
      </c>
      <c r="D18" s="53">
        <f>D19+D20+D21+D22+D23+D24</f>
        <v>28966.16</v>
      </c>
      <c r="E18" s="53">
        <f>E19+E20+E21+E22+E23+E24</f>
        <v>251.42</v>
      </c>
      <c r="F18" s="53">
        <f>F19+F20+F21+F22+F23+F24</f>
        <v>624061.7699999999</v>
      </c>
      <c r="G18" s="54">
        <f>+G19+G20+G21+G22+G23+G24</f>
        <v>402233.21</v>
      </c>
      <c r="H18" s="434"/>
      <c r="I18" s="51"/>
    </row>
    <row r="19" spans="2:9" x14ac:dyDescent="0.2">
      <c r="B19" s="55" t="s">
        <v>65</v>
      </c>
      <c r="C19" s="56">
        <v>8488.18</v>
      </c>
      <c r="D19" s="56">
        <v>4709.8</v>
      </c>
      <c r="E19" s="56">
        <v>0</v>
      </c>
      <c r="F19" s="56">
        <v>554914.6</v>
      </c>
      <c r="G19" s="57">
        <v>0</v>
      </c>
      <c r="H19" s="435"/>
      <c r="I19" s="51"/>
    </row>
    <row r="20" spans="2:9" x14ac:dyDescent="0.2">
      <c r="B20" s="55" t="s">
        <v>66</v>
      </c>
      <c r="C20" s="56">
        <v>1820.41</v>
      </c>
      <c r="D20" s="56">
        <v>3305.18</v>
      </c>
      <c r="E20" s="56">
        <v>0</v>
      </c>
      <c r="F20" s="56">
        <v>28684.75</v>
      </c>
      <c r="G20" s="57">
        <v>14845.53</v>
      </c>
      <c r="H20" s="435"/>
      <c r="I20" s="51"/>
    </row>
    <row r="21" spans="2:9" x14ac:dyDescent="0.2">
      <c r="B21" s="55" t="s">
        <v>67</v>
      </c>
      <c r="C21" s="56">
        <v>0</v>
      </c>
      <c r="D21" s="56">
        <v>0</v>
      </c>
      <c r="E21" s="56">
        <v>251.42</v>
      </c>
      <c r="F21" s="56">
        <v>3623.69</v>
      </c>
      <c r="G21" s="57">
        <v>16174.47</v>
      </c>
      <c r="H21" s="435"/>
      <c r="I21" s="51"/>
    </row>
    <row r="22" spans="2:9" x14ac:dyDescent="0.2">
      <c r="B22" s="55" t="s">
        <v>68</v>
      </c>
      <c r="C22" s="56">
        <v>1301.49</v>
      </c>
      <c r="D22" s="56">
        <v>63.61</v>
      </c>
      <c r="E22" s="56">
        <v>0</v>
      </c>
      <c r="F22" s="56">
        <v>10214.040000000001</v>
      </c>
      <c r="G22" s="57">
        <v>361067.94</v>
      </c>
      <c r="H22" s="435"/>
      <c r="I22" s="51"/>
    </row>
    <row r="23" spans="2:9" x14ac:dyDescent="0.2">
      <c r="B23" s="55" t="s">
        <v>69</v>
      </c>
      <c r="C23" s="56">
        <v>0</v>
      </c>
      <c r="D23" s="56">
        <v>7980</v>
      </c>
      <c r="E23" s="56">
        <v>0</v>
      </c>
      <c r="F23" s="56">
        <v>0</v>
      </c>
      <c r="G23" s="57">
        <v>330</v>
      </c>
      <c r="H23" s="435"/>
      <c r="I23" s="51"/>
    </row>
    <row r="24" spans="2:9" x14ac:dyDescent="0.2">
      <c r="B24" s="55" t="s">
        <v>70</v>
      </c>
      <c r="C24" s="56">
        <v>2273.4899999999998</v>
      </c>
      <c r="D24" s="56">
        <v>12907.57</v>
      </c>
      <c r="E24" s="56">
        <v>0</v>
      </c>
      <c r="F24" s="56">
        <v>26624.69</v>
      </c>
      <c r="G24" s="57">
        <v>9815.27</v>
      </c>
      <c r="H24" s="435"/>
      <c r="I24" s="51"/>
    </row>
    <row r="25" spans="2:9" x14ac:dyDescent="0.2">
      <c r="B25" s="52" t="s">
        <v>71</v>
      </c>
      <c r="C25" s="53">
        <v>109.28</v>
      </c>
      <c r="D25" s="53">
        <v>1866.7</v>
      </c>
      <c r="E25" s="53">
        <v>0</v>
      </c>
      <c r="F25" s="53">
        <v>3920.69</v>
      </c>
      <c r="G25" s="54">
        <v>304.2</v>
      </c>
      <c r="H25" s="434"/>
      <c r="I25" s="51"/>
    </row>
    <row r="26" spans="2:9" s="58" customFormat="1" ht="6.75" customHeight="1" x14ac:dyDescent="0.2">
      <c r="B26" s="59"/>
      <c r="C26" s="60"/>
      <c r="D26" s="60"/>
      <c r="E26" s="60"/>
      <c r="F26" s="60"/>
      <c r="G26" s="61"/>
      <c r="H26" s="436"/>
      <c r="I26" s="62"/>
    </row>
    <row r="27" spans="2:9" ht="20.25" customHeight="1" x14ac:dyDescent="0.25">
      <c r="B27" s="63" t="s">
        <v>72</v>
      </c>
      <c r="C27" s="64">
        <f t="shared" ref="C27:G27" si="0">C16+C17+C18+C25</f>
        <v>52374.31</v>
      </c>
      <c r="D27" s="64">
        <f t="shared" si="0"/>
        <v>62144.67</v>
      </c>
      <c r="E27" s="64">
        <f t="shared" si="0"/>
        <v>251.42</v>
      </c>
      <c r="F27" s="64">
        <f t="shared" si="0"/>
        <v>693812.83999999985</v>
      </c>
      <c r="G27" s="65">
        <f t="shared" si="0"/>
        <v>507904.43000000005</v>
      </c>
      <c r="H27" s="437"/>
      <c r="I27" s="66"/>
    </row>
    <row r="28" spans="2:9" s="67" customFormat="1" ht="30.75" thickBot="1" x14ac:dyDescent="0.3">
      <c r="B28" s="68" t="s">
        <v>73</v>
      </c>
      <c r="C28" s="69">
        <v>0</v>
      </c>
      <c r="D28" s="69">
        <v>2308.85</v>
      </c>
      <c r="E28" s="69">
        <v>0</v>
      </c>
      <c r="F28" s="69">
        <v>11844</v>
      </c>
      <c r="G28" s="70">
        <v>63996</v>
      </c>
      <c r="H28" s="438"/>
    </row>
    <row r="29" spans="2:9" ht="15" thickBot="1" x14ac:dyDescent="0.25"/>
    <row r="30" spans="2:9" s="43" customFormat="1" ht="90.75" thickBot="1" x14ac:dyDescent="0.3">
      <c r="B30" s="44" t="s">
        <v>56</v>
      </c>
      <c r="C30" s="45" t="s">
        <v>74</v>
      </c>
      <c r="D30" s="45" t="s">
        <v>540</v>
      </c>
      <c r="E30" s="45" t="s">
        <v>76</v>
      </c>
      <c r="F30" s="45" t="s">
        <v>75</v>
      </c>
      <c r="G30" s="439"/>
      <c r="H30" s="445"/>
      <c r="I30" s="71"/>
    </row>
    <row r="31" spans="2:9" ht="15" thickTop="1" x14ac:dyDescent="0.2">
      <c r="B31" s="48" t="s">
        <v>62</v>
      </c>
      <c r="C31" s="49">
        <v>80954.960000000006</v>
      </c>
      <c r="D31" s="49">
        <v>156783.1</v>
      </c>
      <c r="E31" s="49">
        <v>6603.16</v>
      </c>
      <c r="F31" s="49">
        <v>39141.910000000003</v>
      </c>
      <c r="G31" s="440"/>
      <c r="H31" s="446"/>
      <c r="I31" s="72"/>
    </row>
    <row r="32" spans="2:9" x14ac:dyDescent="0.2">
      <c r="B32" s="52" t="s">
        <v>63</v>
      </c>
      <c r="C32" s="53">
        <v>28544.7</v>
      </c>
      <c r="D32" s="53">
        <v>70385.91</v>
      </c>
      <c r="E32" s="53">
        <v>2034.19</v>
      </c>
      <c r="F32" s="53">
        <v>14500.98</v>
      </c>
      <c r="G32" s="440"/>
      <c r="H32" s="446"/>
      <c r="I32" s="72"/>
    </row>
    <row r="33" spans="2:10" x14ac:dyDescent="0.2">
      <c r="B33" s="52" t="s">
        <v>64</v>
      </c>
      <c r="C33" s="53">
        <f t="shared" ref="C33:F33" si="1">C34+C35+C36+C37+C38+C39</f>
        <v>293830.78999999998</v>
      </c>
      <c r="D33" s="53">
        <f t="shared" si="1"/>
        <v>371622.82</v>
      </c>
      <c r="E33" s="53">
        <f t="shared" ref="E33" si="2">E34+E35+E36+E37+E38+E39</f>
        <v>14873.329999999998</v>
      </c>
      <c r="F33" s="53">
        <f t="shared" si="1"/>
        <v>49549.490000000005</v>
      </c>
      <c r="G33" s="440"/>
      <c r="H33" s="446"/>
      <c r="I33" s="72"/>
    </row>
    <row r="34" spans="2:10" x14ac:dyDescent="0.2">
      <c r="B34" s="55" t="s">
        <v>65</v>
      </c>
      <c r="C34" s="56">
        <v>198332.43</v>
      </c>
      <c r="D34" s="56">
        <v>219805.56</v>
      </c>
      <c r="E34" s="56">
        <v>10949.24</v>
      </c>
      <c r="F34" s="56">
        <v>1240.3499999999999</v>
      </c>
      <c r="G34" s="441"/>
      <c r="H34" s="447"/>
      <c r="I34" s="73"/>
    </row>
    <row r="35" spans="2:10" x14ac:dyDescent="0.2">
      <c r="B35" s="55" t="s">
        <v>66</v>
      </c>
      <c r="C35" s="56">
        <v>20241.7</v>
      </c>
      <c r="D35" s="56">
        <v>43084.17</v>
      </c>
      <c r="E35" s="56">
        <v>2106.38</v>
      </c>
      <c r="F35" s="56">
        <v>28026.21</v>
      </c>
      <c r="G35" s="441"/>
      <c r="H35" s="447"/>
      <c r="I35" s="73"/>
    </row>
    <row r="36" spans="2:10" x14ac:dyDescent="0.2">
      <c r="B36" s="55" t="s">
        <v>67</v>
      </c>
      <c r="C36" s="56">
        <v>0</v>
      </c>
      <c r="D36" s="56">
        <v>0</v>
      </c>
      <c r="E36" s="56">
        <v>221.4</v>
      </c>
      <c r="F36" s="56">
        <v>1141.32</v>
      </c>
      <c r="G36" s="441"/>
      <c r="H36" s="447"/>
      <c r="I36" s="73"/>
    </row>
    <row r="37" spans="2:10" x14ac:dyDescent="0.2">
      <c r="B37" s="55" t="s">
        <v>68</v>
      </c>
      <c r="C37" s="56">
        <v>35068.339999999997</v>
      </c>
      <c r="D37" s="56">
        <v>34373.449999999997</v>
      </c>
      <c r="E37" s="56">
        <v>1102.8</v>
      </c>
      <c r="F37" s="56">
        <v>9863.73</v>
      </c>
      <c r="G37" s="441"/>
      <c r="H37" s="447"/>
      <c r="I37" s="73"/>
    </row>
    <row r="38" spans="2:10" x14ac:dyDescent="0.2">
      <c r="B38" s="55" t="s">
        <v>69</v>
      </c>
      <c r="C38" s="56">
        <v>0</v>
      </c>
      <c r="D38" s="56">
        <v>0</v>
      </c>
      <c r="E38" s="56">
        <v>0</v>
      </c>
      <c r="F38" s="56">
        <v>1141.8699999999999</v>
      </c>
      <c r="G38" s="441"/>
      <c r="H38" s="447"/>
      <c r="I38" s="73"/>
    </row>
    <row r="39" spans="2:10" x14ac:dyDescent="0.2">
      <c r="B39" s="55" t="s">
        <v>70</v>
      </c>
      <c r="C39" s="56">
        <v>40188.32</v>
      </c>
      <c r="D39" s="56">
        <v>74359.64</v>
      </c>
      <c r="E39" s="56">
        <v>493.51</v>
      </c>
      <c r="F39" s="56">
        <v>8136.01</v>
      </c>
      <c r="G39" s="441"/>
      <c r="H39" s="447"/>
      <c r="I39" s="73"/>
    </row>
    <row r="40" spans="2:10" x14ac:dyDescent="0.2">
      <c r="B40" s="52" t="s">
        <v>71</v>
      </c>
      <c r="C40" s="53">
        <v>218.99</v>
      </c>
      <c r="D40" s="53">
        <v>145.29</v>
      </c>
      <c r="E40" s="53">
        <v>0</v>
      </c>
      <c r="F40" s="53">
        <v>0</v>
      </c>
      <c r="G40" s="440"/>
      <c r="H40" s="446"/>
      <c r="I40" s="73"/>
    </row>
    <row r="41" spans="2:10" s="74" customFormat="1" ht="6.75" customHeight="1" x14ac:dyDescent="0.2">
      <c r="B41" s="75"/>
      <c r="C41" s="76"/>
      <c r="D41" s="76"/>
      <c r="E41" s="76"/>
      <c r="F41" s="76"/>
      <c r="G41" s="442"/>
      <c r="H41" s="448"/>
      <c r="I41" s="73"/>
    </row>
    <row r="42" spans="2:10" ht="18.75" customHeight="1" x14ac:dyDescent="0.25">
      <c r="B42" s="63" t="s">
        <v>72</v>
      </c>
      <c r="C42" s="64">
        <f t="shared" ref="C42:F42" si="3">C31+C32+C33+C40</f>
        <v>403549.43999999994</v>
      </c>
      <c r="D42" s="64">
        <f t="shared" si="3"/>
        <v>598937.12000000011</v>
      </c>
      <c r="E42" s="64">
        <f t="shared" ref="E42" si="4">E31+E32+E33+E40</f>
        <v>23510.68</v>
      </c>
      <c r="F42" s="64">
        <f t="shared" si="3"/>
        <v>103192.38</v>
      </c>
      <c r="G42" s="443"/>
      <c r="H42" s="449"/>
      <c r="I42" s="77"/>
    </row>
    <row r="43" spans="2:10" s="67" customFormat="1" ht="34.5" customHeight="1" thickBot="1" x14ac:dyDescent="0.3">
      <c r="B43" s="68" t="s">
        <v>73</v>
      </c>
      <c r="C43" s="69">
        <v>2331.7199999999998</v>
      </c>
      <c r="D43" s="69">
        <v>0</v>
      </c>
      <c r="E43" s="69">
        <v>0</v>
      </c>
      <c r="F43" s="69">
        <v>12172.82</v>
      </c>
      <c r="G43" s="444"/>
      <c r="H43" s="450"/>
      <c r="I43" s="78"/>
    </row>
    <row r="45" spans="2:10" customFormat="1" ht="15" x14ac:dyDescent="0.25">
      <c r="B45" s="1"/>
      <c r="C45" s="1"/>
      <c r="D45" s="1"/>
      <c r="E45" s="1"/>
      <c r="F45" s="1"/>
      <c r="G45" s="1"/>
      <c r="H45" s="1"/>
      <c r="I45" s="1"/>
      <c r="J45" s="1"/>
    </row>
    <row r="46" spans="2:10" customFormat="1" ht="15" x14ac:dyDescent="0.25">
      <c r="B46" s="1"/>
      <c r="C46" s="1"/>
      <c r="D46" s="1"/>
      <c r="E46" s="1"/>
      <c r="F46" s="1"/>
      <c r="G46" s="1"/>
      <c r="H46" s="1"/>
      <c r="I46" s="1"/>
      <c r="J46" s="1"/>
    </row>
    <row r="47" spans="2:10" customFormat="1" ht="15" x14ac:dyDescent="0.25">
      <c r="B47" s="1"/>
      <c r="C47" s="1"/>
      <c r="D47" s="1"/>
      <c r="E47" s="1"/>
      <c r="F47" s="1"/>
      <c r="G47" s="1"/>
      <c r="H47" s="1"/>
      <c r="I47" s="1"/>
      <c r="J47" s="1"/>
    </row>
    <row r="48" spans="2:10" customFormat="1" ht="15" x14ac:dyDescent="0.25">
      <c r="B48" s="1"/>
      <c r="C48" s="1"/>
      <c r="D48" s="1"/>
      <c r="E48" s="1"/>
      <c r="F48" s="1"/>
      <c r="G48" s="1"/>
      <c r="H48" s="1"/>
      <c r="I48" s="1"/>
      <c r="J48" s="1"/>
    </row>
    <row r="49" spans="2:10" customFormat="1" ht="15.75" thickBot="1" x14ac:dyDescent="0.3">
      <c r="B49" s="1"/>
      <c r="C49" s="1"/>
      <c r="D49" s="1"/>
      <c r="E49" s="1"/>
      <c r="F49" s="1"/>
      <c r="G49" s="1"/>
      <c r="H49" s="1"/>
      <c r="I49" s="1"/>
      <c r="J49" s="1"/>
    </row>
    <row r="50" spans="2:10" s="43" customFormat="1" ht="79.5" thickBot="1" x14ac:dyDescent="0.3">
      <c r="B50" s="44" t="s">
        <v>56</v>
      </c>
      <c r="C50" s="45" t="s">
        <v>77</v>
      </c>
      <c r="D50" s="79" t="s">
        <v>539</v>
      </c>
      <c r="E50" s="45" t="s">
        <v>82</v>
      </c>
      <c r="F50" s="45" t="s">
        <v>78</v>
      </c>
      <c r="G50" s="46" t="s">
        <v>79</v>
      </c>
      <c r="H50" s="85" t="s">
        <v>83</v>
      </c>
    </row>
    <row r="51" spans="2:10" customFormat="1" ht="15.75" thickTop="1" x14ac:dyDescent="0.25">
      <c r="B51" s="48" t="s">
        <v>62</v>
      </c>
      <c r="C51" s="49">
        <v>148284.45000000001</v>
      </c>
      <c r="D51" s="80">
        <v>89010.64</v>
      </c>
      <c r="E51" s="49">
        <v>0</v>
      </c>
      <c r="F51" s="49">
        <v>0</v>
      </c>
      <c r="G51" s="50">
        <v>205151.08</v>
      </c>
      <c r="H51" s="86">
        <f>G51+J32+I32+H32+G32+F32+K12+J12+I12+H12+G12+F12+F51</f>
        <v>219652.06</v>
      </c>
      <c r="I51" s="1"/>
      <c r="J51" s="51"/>
    </row>
    <row r="52" spans="2:10" customFormat="1" ht="15" x14ac:dyDescent="0.25">
      <c r="B52" s="52" t="s">
        <v>80</v>
      </c>
      <c r="C52" s="53">
        <v>52415.93</v>
      </c>
      <c r="D52" s="81">
        <v>31633.8</v>
      </c>
      <c r="E52" s="53">
        <v>0</v>
      </c>
      <c r="F52" s="53">
        <v>0</v>
      </c>
      <c r="G52" s="54">
        <v>75695.490000000005</v>
      </c>
      <c r="H52" s="65">
        <f>G52+J33+I33+H33+G33+F33+K13+J13+I13+H13+G13+F13+F52</f>
        <v>125244.98000000001</v>
      </c>
      <c r="I52" s="1"/>
      <c r="J52" s="1"/>
    </row>
    <row r="53" spans="2:10" customFormat="1" ht="15" x14ac:dyDescent="0.25">
      <c r="B53" s="52" t="s">
        <v>64</v>
      </c>
      <c r="C53" s="53">
        <f>C54+C55+C56+C57+C58+C59+C60</f>
        <v>218424.37</v>
      </c>
      <c r="D53" s="81">
        <f>D55+D56+D57+D58+D59+D60+D54</f>
        <v>88642.16</v>
      </c>
      <c r="E53" s="53">
        <f>E55+E56+E57+E58+E59+E60+E54</f>
        <v>12920</v>
      </c>
      <c r="F53" s="53">
        <f>F55+F56+F57+F58+F59+F60+F54</f>
        <v>10201.11</v>
      </c>
      <c r="G53" s="54">
        <f>G55+G56+G57+G58+G59+G60+G54</f>
        <v>86012.14</v>
      </c>
      <c r="H53" s="65">
        <f>H55+H56+H57+H58+H59+H60+H54</f>
        <v>2243498.5500000003</v>
      </c>
      <c r="I53" s="1"/>
      <c r="J53" s="1"/>
    </row>
    <row r="54" spans="2:10" customFormat="1" ht="15" x14ac:dyDescent="0.25">
      <c r="B54" s="55" t="s">
        <v>81</v>
      </c>
      <c r="C54" s="56">
        <v>0</v>
      </c>
      <c r="D54" s="82">
        <v>0</v>
      </c>
      <c r="E54" s="56">
        <v>0</v>
      </c>
      <c r="F54" s="56">
        <v>0</v>
      </c>
      <c r="G54" s="57">
        <v>98.98</v>
      </c>
      <c r="H54" s="87">
        <f>G54+J35+I35+H35+G35+F35+F54</f>
        <v>28125.19</v>
      </c>
      <c r="I54" s="1"/>
      <c r="J54" s="1"/>
    </row>
    <row r="55" spans="2:10" customFormat="1" ht="15" x14ac:dyDescent="0.25">
      <c r="B55" s="55" t="s">
        <v>65</v>
      </c>
      <c r="C55" s="56">
        <v>0</v>
      </c>
      <c r="D55" s="82">
        <v>1392.64</v>
      </c>
      <c r="E55" s="56">
        <v>0</v>
      </c>
      <c r="F55" s="56">
        <v>7324.78</v>
      </c>
      <c r="G55" s="57">
        <v>6550.68</v>
      </c>
      <c r="H55" s="87">
        <f>G55+F55+E55+D55+C55+G34+F34+E34+D34+C34+G19+F19+D19+E19+C19</f>
        <v>1013708.2600000001</v>
      </c>
      <c r="I55" s="1"/>
      <c r="J55" s="1"/>
    </row>
    <row r="56" spans="2:10" customFormat="1" ht="15" x14ac:dyDescent="0.25">
      <c r="B56" s="55" t="s">
        <v>66</v>
      </c>
      <c r="C56" s="56">
        <v>86061.45</v>
      </c>
      <c r="D56" s="82">
        <v>11102.34</v>
      </c>
      <c r="E56" s="56">
        <v>0</v>
      </c>
      <c r="F56" s="56">
        <v>1979.38</v>
      </c>
      <c r="G56" s="57">
        <v>14541.7</v>
      </c>
      <c r="H56" s="87">
        <f t="shared" ref="H56:H59" si="5">G56+F56+E56+D56+C56+G35+F35+E35+D35+C35+G20+F20+D20+E20+C20</f>
        <v>255799.2</v>
      </c>
      <c r="I56" s="1"/>
      <c r="J56" s="1"/>
    </row>
    <row r="57" spans="2:10" customFormat="1" ht="15" x14ac:dyDescent="0.25">
      <c r="B57" s="55" t="s">
        <v>67</v>
      </c>
      <c r="C57" s="56">
        <v>17472.66</v>
      </c>
      <c r="D57" s="82">
        <v>4144.07</v>
      </c>
      <c r="E57" s="56">
        <v>0</v>
      </c>
      <c r="F57" s="56">
        <v>0</v>
      </c>
      <c r="G57" s="57">
        <v>14395.62</v>
      </c>
      <c r="H57" s="87">
        <f t="shared" si="5"/>
        <v>57424.650000000009</v>
      </c>
      <c r="I57" s="1"/>
      <c r="J57" s="1"/>
    </row>
    <row r="58" spans="2:10" customFormat="1" ht="15" x14ac:dyDescent="0.25">
      <c r="B58" s="55" t="s">
        <v>68</v>
      </c>
      <c r="C58" s="56">
        <v>98960.51</v>
      </c>
      <c r="D58" s="82">
        <v>27295.26</v>
      </c>
      <c r="E58" s="56">
        <v>12920</v>
      </c>
      <c r="F58" s="56">
        <v>255.02</v>
      </c>
      <c r="G58" s="57">
        <v>2356.8000000000002</v>
      </c>
      <c r="H58" s="87">
        <f t="shared" si="5"/>
        <v>594842.99</v>
      </c>
      <c r="I58" s="1"/>
      <c r="J58" s="1"/>
    </row>
    <row r="59" spans="2:10" customFormat="1" ht="15" x14ac:dyDescent="0.25">
      <c r="B59" s="55" t="s">
        <v>69</v>
      </c>
      <c r="C59" s="56">
        <v>670</v>
      </c>
      <c r="D59" s="82">
        <v>0</v>
      </c>
      <c r="E59" s="56">
        <v>0</v>
      </c>
      <c r="F59" s="56">
        <v>0</v>
      </c>
      <c r="G59" s="57">
        <v>0</v>
      </c>
      <c r="H59" s="87">
        <f t="shared" si="5"/>
        <v>10121.869999999999</v>
      </c>
      <c r="I59" s="1"/>
      <c r="J59" s="1"/>
    </row>
    <row r="60" spans="2:10" customFormat="1" ht="15" x14ac:dyDescent="0.25">
      <c r="B60" s="55" t="s">
        <v>70</v>
      </c>
      <c r="C60" s="56">
        <v>15259.75</v>
      </c>
      <c r="D60" s="82">
        <v>44707.85</v>
      </c>
      <c r="E60" s="56">
        <v>0</v>
      </c>
      <c r="F60" s="56">
        <v>641.92999999999995</v>
      </c>
      <c r="G60" s="57">
        <v>48068.36</v>
      </c>
      <c r="H60" s="87">
        <f>G60+F60+E60+D60+C60+G39+F39+E39+D39+C39+G24+F24+D24+E24+C24</f>
        <v>283476.38999999996</v>
      </c>
      <c r="I60" s="1"/>
      <c r="J60" s="1"/>
    </row>
    <row r="61" spans="2:10" customFormat="1" ht="15" x14ac:dyDescent="0.25">
      <c r="B61" s="52" t="s">
        <v>71</v>
      </c>
      <c r="C61" s="53">
        <v>460.96</v>
      </c>
      <c r="D61" s="81">
        <v>1015.69</v>
      </c>
      <c r="E61" s="53">
        <v>0</v>
      </c>
      <c r="F61" s="53">
        <v>0</v>
      </c>
      <c r="G61" s="54">
        <v>1042.54</v>
      </c>
      <c r="H61" s="65">
        <f>G61+F61+E61+D61+C61+G40+F40+E40+D40+C40+G25+F25+E25+D25+C25</f>
        <v>9084.340000000002</v>
      </c>
      <c r="I61" s="1"/>
      <c r="J61" s="1"/>
    </row>
    <row r="62" spans="2:10" s="74" customFormat="1" ht="6.75" customHeight="1" x14ac:dyDescent="0.25">
      <c r="B62" s="75"/>
      <c r="C62" s="83"/>
      <c r="D62" s="83"/>
      <c r="E62" s="83"/>
      <c r="F62" s="83"/>
      <c r="G62" s="84"/>
      <c r="H62" s="88"/>
    </row>
    <row r="63" spans="2:10" customFormat="1" ht="15.75" thickBot="1" x14ac:dyDescent="0.3">
      <c r="B63" s="63" t="s">
        <v>72</v>
      </c>
      <c r="C63" s="64">
        <f>C51+C52+C53+C61</f>
        <v>419585.71</v>
      </c>
      <c r="D63" s="64">
        <f>D51+D52+D53+D61</f>
        <v>210302.29</v>
      </c>
      <c r="E63" s="64">
        <f>E51+E52+E53+E61</f>
        <v>12920</v>
      </c>
      <c r="F63" s="64">
        <f>F51+F52+F53+F61</f>
        <v>10201.11</v>
      </c>
      <c r="G63" s="65">
        <f>G51+G52+G53+G61</f>
        <v>367901.25</v>
      </c>
      <c r="H63" s="70">
        <f>G63+F63+E63+D63+C63+G42+F42+E42+D42+C42+G27+F27+E27+D27+C27</f>
        <v>3466587.6500000004</v>
      </c>
      <c r="I63" s="1"/>
      <c r="J63" s="1"/>
    </row>
    <row r="64" spans="2:10" s="67" customFormat="1" ht="30.75" thickBot="1" x14ac:dyDescent="0.3">
      <c r="B64" s="68" t="s">
        <v>73</v>
      </c>
      <c r="C64" s="69">
        <v>99488</v>
      </c>
      <c r="D64" s="69">
        <v>0</v>
      </c>
      <c r="E64" s="69">
        <v>0</v>
      </c>
      <c r="F64" s="69">
        <v>0</v>
      </c>
      <c r="G64" s="70">
        <v>17385.900000000001</v>
      </c>
      <c r="H64" s="70">
        <f>G64+F64+E64+D64+C64+G43+F43+E43+D43+C43+G28+F28+E28+D28+C28</f>
        <v>209527.29</v>
      </c>
    </row>
    <row r="65" spans="2:10" customFormat="1" ht="25.5" thickTop="1" thickBot="1" x14ac:dyDescent="0.3">
      <c r="B65" s="89" t="s">
        <v>84</v>
      </c>
      <c r="C65" s="90"/>
      <c r="D65" s="90"/>
      <c r="E65" s="90"/>
      <c r="F65" s="90"/>
      <c r="G65" s="90"/>
      <c r="H65" s="91">
        <v>42350</v>
      </c>
      <c r="I65" s="1"/>
      <c r="J65" s="1"/>
    </row>
    <row r="66" spans="2:10" s="431" customFormat="1" ht="15" x14ac:dyDescent="0.25">
      <c r="B66" s="1"/>
      <c r="C66" s="1"/>
      <c r="D66" s="1"/>
      <c r="E66" s="1"/>
      <c r="F66" s="1"/>
      <c r="G66" s="1"/>
      <c r="H66" s="1"/>
      <c r="I66" s="1"/>
      <c r="J66" s="1"/>
    </row>
    <row r="67" spans="2:10" s="431" customFormat="1" ht="15" x14ac:dyDescent="0.25">
      <c r="B67" s="1"/>
      <c r="C67" s="1"/>
      <c r="D67" s="1"/>
      <c r="E67" s="1"/>
      <c r="F67" s="1"/>
      <c r="G67" s="1"/>
      <c r="H67" s="1"/>
      <c r="I67" s="1"/>
      <c r="J67" s="1"/>
    </row>
    <row r="68" spans="2:10" customFormat="1" ht="15" x14ac:dyDescent="0.25">
      <c r="B68" s="1"/>
      <c r="C68" s="1"/>
      <c r="D68" s="1"/>
      <c r="E68" s="1"/>
      <c r="F68" s="1"/>
      <c r="G68" s="1"/>
      <c r="H68" s="1"/>
      <c r="I68" s="1"/>
      <c r="J68" s="1"/>
    </row>
  </sheetData>
  <mergeCells count="6">
    <mergeCell ref="B9:D9"/>
    <mergeCell ref="B2:H2"/>
    <mergeCell ref="B5:D5"/>
    <mergeCell ref="B6:D6"/>
    <mergeCell ref="B7:D7"/>
    <mergeCell ref="B8:D8"/>
  </mergeCells>
  <pageMargins left="0.65000000000000013" right="0.18000000000000002" top="0.55118110236220452" bottom="0.31496062992125951" header="0.511811023622047" footer="0.27559055118110198"/>
  <pageSetup paperSize="9" scale="90" fitToWidth="0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B2:H49"/>
  <sheetViews>
    <sheetView workbookViewId="0"/>
  </sheetViews>
  <sheetFormatPr defaultRowHeight="12.75" x14ac:dyDescent="0.2"/>
  <cols>
    <col min="1" max="1" width="4" style="27" customWidth="1"/>
    <col min="2" max="2" width="6.42578125" style="27" customWidth="1"/>
    <col min="3" max="3" width="33.7109375" style="27" customWidth="1"/>
    <col min="4" max="4" width="16.140625" style="27" customWidth="1"/>
    <col min="5" max="5" width="14.140625" style="27" customWidth="1"/>
    <col min="6" max="6" width="13.5703125" style="27" customWidth="1"/>
    <col min="7" max="7" width="9.140625" style="27" customWidth="1"/>
    <col min="8" max="16384" width="9.140625" style="27"/>
  </cols>
  <sheetData>
    <row r="2" spans="2:8" x14ac:dyDescent="0.2">
      <c r="D2" s="148"/>
      <c r="E2" s="148"/>
      <c r="F2" s="148"/>
    </row>
    <row r="3" spans="2:8" x14ac:dyDescent="0.2">
      <c r="F3" s="119" t="s">
        <v>425</v>
      </c>
    </row>
    <row r="4" spans="2:8" ht="42" customHeight="1" x14ac:dyDescent="0.2">
      <c r="B4" s="874" t="s">
        <v>565</v>
      </c>
      <c r="C4" s="874"/>
      <c r="D4" s="874"/>
      <c r="E4" s="874"/>
      <c r="F4" s="874"/>
      <c r="G4" s="92"/>
      <c r="H4" s="92"/>
    </row>
    <row r="5" spans="2:8" customFormat="1" ht="15.75" thickBot="1" x14ac:dyDescent="0.3">
      <c r="B5" s="27"/>
      <c r="C5" s="27"/>
      <c r="D5" s="27"/>
      <c r="E5" s="27"/>
      <c r="F5" s="27"/>
      <c r="G5" s="27"/>
    </row>
    <row r="6" spans="2:8" customFormat="1" ht="30" customHeight="1" x14ac:dyDescent="0.25">
      <c r="B6" s="875"/>
      <c r="C6" s="875"/>
      <c r="D6" s="4" t="s">
        <v>324</v>
      </c>
      <c r="E6" s="4" t="s">
        <v>325</v>
      </c>
      <c r="F6" s="363" t="s">
        <v>326</v>
      </c>
      <c r="G6" s="27"/>
    </row>
    <row r="7" spans="2:8" s="127" customFormat="1" ht="20.25" customHeight="1" thickBot="1" x14ac:dyDescent="0.3">
      <c r="B7" s="364"/>
      <c r="C7" s="365" t="s">
        <v>327</v>
      </c>
      <c r="D7" s="366">
        <f>D8+D9+D10+D18+D19</f>
        <v>44635311</v>
      </c>
      <c r="E7" s="366">
        <f>E8+E9+E10+E18+E19</f>
        <v>45673405</v>
      </c>
      <c r="F7" s="367">
        <f>F8+F9+F10+F18+F19</f>
        <v>42609587.5</v>
      </c>
    </row>
    <row r="8" spans="2:8" customFormat="1" ht="26.25" thickTop="1" x14ac:dyDescent="0.25">
      <c r="B8" s="368">
        <v>610</v>
      </c>
      <c r="C8" s="369" t="s">
        <v>426</v>
      </c>
      <c r="D8" s="327">
        <v>17153767</v>
      </c>
      <c r="E8" s="327">
        <v>17470654</v>
      </c>
      <c r="F8" s="328">
        <v>17013804.559999999</v>
      </c>
      <c r="G8" s="27"/>
    </row>
    <row r="9" spans="2:8" customFormat="1" ht="15" x14ac:dyDescent="0.25">
      <c r="B9" s="210">
        <v>620</v>
      </c>
      <c r="C9" s="351" t="s">
        <v>427</v>
      </c>
      <c r="D9" s="195">
        <v>6351963</v>
      </c>
      <c r="E9" s="195">
        <v>6472925</v>
      </c>
      <c r="F9" s="211">
        <v>6195758</v>
      </c>
      <c r="G9" s="27"/>
    </row>
    <row r="10" spans="2:8" customFormat="1" ht="15" x14ac:dyDescent="0.25">
      <c r="B10" s="210">
        <v>630</v>
      </c>
      <c r="C10" s="351" t="s">
        <v>428</v>
      </c>
      <c r="D10" s="370">
        <f>D11+D12+D13+D14+D15+D16+D17</f>
        <v>17929512</v>
      </c>
      <c r="E10" s="370">
        <f>E11+E12+E13+E14+E15+E16+E17</f>
        <v>16264496</v>
      </c>
      <c r="F10" s="370">
        <f>F11+F12+F13+F14+F15+F16+F17</f>
        <v>14224453.73</v>
      </c>
      <c r="G10" s="27"/>
    </row>
    <row r="11" spans="2:8" customFormat="1" ht="15" x14ac:dyDescent="0.25">
      <c r="B11" s="213">
        <v>631</v>
      </c>
      <c r="C11" s="355" t="s">
        <v>429</v>
      </c>
      <c r="D11" s="335">
        <v>20643</v>
      </c>
      <c r="E11" s="335">
        <v>30314</v>
      </c>
      <c r="F11" s="124">
        <v>24927.27</v>
      </c>
      <c r="G11" s="27"/>
    </row>
    <row r="12" spans="2:8" customFormat="1" ht="15" x14ac:dyDescent="0.25">
      <c r="B12" s="213">
        <v>632</v>
      </c>
      <c r="C12" s="355" t="s">
        <v>430</v>
      </c>
      <c r="D12" s="335">
        <v>3001847</v>
      </c>
      <c r="E12" s="335">
        <v>3144958.99</v>
      </c>
      <c r="F12" s="124">
        <v>2888226</v>
      </c>
      <c r="G12" s="27"/>
    </row>
    <row r="13" spans="2:8" customFormat="1" ht="15" x14ac:dyDescent="0.25">
      <c r="B13" s="213">
        <v>633</v>
      </c>
      <c r="C13" s="355" t="s">
        <v>431</v>
      </c>
      <c r="D13" s="335">
        <v>2215470</v>
      </c>
      <c r="E13" s="335">
        <v>2429840</v>
      </c>
      <c r="F13" s="124">
        <v>2090110.37</v>
      </c>
      <c r="G13" s="27"/>
    </row>
    <row r="14" spans="2:8" customFormat="1" ht="15" x14ac:dyDescent="0.25">
      <c r="B14" s="213">
        <v>634</v>
      </c>
      <c r="C14" s="355" t="s">
        <v>432</v>
      </c>
      <c r="D14" s="335">
        <v>183127</v>
      </c>
      <c r="E14" s="335">
        <v>187783</v>
      </c>
      <c r="F14" s="124">
        <v>150122.09</v>
      </c>
      <c r="G14" s="27"/>
    </row>
    <row r="15" spans="2:8" customFormat="1" ht="15" x14ac:dyDescent="0.25">
      <c r="B15" s="213">
        <v>635</v>
      </c>
      <c r="C15" s="355" t="s">
        <v>433</v>
      </c>
      <c r="D15" s="335">
        <v>3538691</v>
      </c>
      <c r="E15" s="335">
        <v>3499857</v>
      </c>
      <c r="F15" s="124">
        <v>2852927</v>
      </c>
      <c r="G15" s="27"/>
    </row>
    <row r="16" spans="2:8" customFormat="1" ht="15" x14ac:dyDescent="0.25">
      <c r="B16" s="213">
        <v>636</v>
      </c>
      <c r="C16" s="355" t="s">
        <v>434</v>
      </c>
      <c r="D16" s="335">
        <v>643458</v>
      </c>
      <c r="E16" s="335">
        <v>649492</v>
      </c>
      <c r="F16" s="124">
        <v>595943</v>
      </c>
      <c r="G16" s="27"/>
    </row>
    <row r="17" spans="2:7" customFormat="1" ht="15" x14ac:dyDescent="0.25">
      <c r="B17" s="213">
        <v>637</v>
      </c>
      <c r="C17" s="355" t="s">
        <v>435</v>
      </c>
      <c r="D17" s="335">
        <v>8326276</v>
      </c>
      <c r="E17" s="335">
        <v>6322251.0099999998</v>
      </c>
      <c r="F17" s="124">
        <v>5622198</v>
      </c>
      <c r="G17" s="27"/>
    </row>
    <row r="18" spans="2:7" customFormat="1" ht="15" x14ac:dyDescent="0.25">
      <c r="B18" s="210">
        <v>640</v>
      </c>
      <c r="C18" s="351" t="s">
        <v>436</v>
      </c>
      <c r="D18" s="370">
        <v>3020069</v>
      </c>
      <c r="E18" s="370">
        <v>5330680</v>
      </c>
      <c r="F18" s="371">
        <v>5056806.22</v>
      </c>
      <c r="G18" s="27"/>
    </row>
    <row r="19" spans="2:7" customFormat="1" ht="15" x14ac:dyDescent="0.25">
      <c r="B19" s="210">
        <v>650</v>
      </c>
      <c r="C19" s="351" t="s">
        <v>437</v>
      </c>
      <c r="D19" s="370">
        <v>180000</v>
      </c>
      <c r="E19" s="370">
        <v>134650</v>
      </c>
      <c r="F19" s="371">
        <v>118764.99</v>
      </c>
      <c r="G19" s="27"/>
    </row>
    <row r="20" spans="2:7" customFormat="1" ht="9" customHeight="1" x14ac:dyDescent="0.25">
      <c r="B20" s="213"/>
      <c r="C20" s="355"/>
      <c r="D20" s="335"/>
      <c r="E20" s="335"/>
      <c r="F20" s="124"/>
      <c r="G20" s="27"/>
    </row>
    <row r="21" spans="2:7" s="127" customFormat="1" ht="24.75" customHeight="1" x14ac:dyDescent="0.25">
      <c r="B21" s="372"/>
      <c r="C21" s="373" t="s">
        <v>416</v>
      </c>
      <c r="D21" s="374">
        <f>D22+D30</f>
        <v>11321276</v>
      </c>
      <c r="E21" s="374">
        <f>E22+E30</f>
        <v>13921783</v>
      </c>
      <c r="F21" s="374">
        <f>F22+F30</f>
        <v>9003435</v>
      </c>
    </row>
    <row r="22" spans="2:7" customFormat="1" ht="25.5" customHeight="1" x14ac:dyDescent="0.25">
      <c r="B22" s="210">
        <v>710</v>
      </c>
      <c r="C22" s="333" t="s">
        <v>438</v>
      </c>
      <c r="D22" s="370">
        <f>D23+D24+D25+D26+D27+D28+D29</f>
        <v>11291276</v>
      </c>
      <c r="E22" s="370">
        <f t="shared" ref="E22:F22" si="0">E23+E24+E25+E26+E27+E28+E29</f>
        <v>13891783</v>
      </c>
      <c r="F22" s="370">
        <f t="shared" si="0"/>
        <v>8973435</v>
      </c>
      <c r="G22" s="27"/>
    </row>
    <row r="23" spans="2:7" customFormat="1" ht="15" x14ac:dyDescent="0.25">
      <c r="B23" s="375">
        <v>711</v>
      </c>
      <c r="C23" s="376" t="s">
        <v>439</v>
      </c>
      <c r="D23" s="377">
        <v>1102277</v>
      </c>
      <c r="E23" s="377">
        <v>1354650</v>
      </c>
      <c r="F23" s="378">
        <v>486222</v>
      </c>
      <c r="G23" s="27"/>
    </row>
    <row r="24" spans="2:7" customFormat="1" ht="15" x14ac:dyDescent="0.25">
      <c r="B24" s="375">
        <v>712</v>
      </c>
      <c r="C24" s="376" t="s">
        <v>440</v>
      </c>
      <c r="D24" s="377">
        <v>938620</v>
      </c>
      <c r="E24" s="377">
        <v>1014570</v>
      </c>
      <c r="F24" s="378">
        <v>424732</v>
      </c>
      <c r="G24" s="27"/>
    </row>
    <row r="25" spans="2:7" customFormat="1" ht="25.5" x14ac:dyDescent="0.25">
      <c r="B25" s="375">
        <v>713</v>
      </c>
      <c r="C25" s="376" t="s">
        <v>441</v>
      </c>
      <c r="D25" s="377">
        <v>531418</v>
      </c>
      <c r="E25" s="377">
        <v>521901</v>
      </c>
      <c r="F25" s="378">
        <v>402868</v>
      </c>
      <c r="G25" s="27"/>
    </row>
    <row r="26" spans="2:7" customFormat="1" ht="15" x14ac:dyDescent="0.25">
      <c r="B26" s="375">
        <v>714</v>
      </c>
      <c r="C26" s="376" t="s">
        <v>442</v>
      </c>
      <c r="D26" s="377">
        <v>245700</v>
      </c>
      <c r="E26" s="377">
        <v>256500</v>
      </c>
      <c r="F26" s="378">
        <v>256041</v>
      </c>
      <c r="G26" s="27"/>
    </row>
    <row r="27" spans="2:7" customFormat="1" ht="15" x14ac:dyDescent="0.25">
      <c r="B27" s="375">
        <v>716</v>
      </c>
      <c r="C27" s="376" t="s">
        <v>443</v>
      </c>
      <c r="D27" s="377">
        <v>495459</v>
      </c>
      <c r="E27" s="377">
        <v>609623</v>
      </c>
      <c r="F27" s="378">
        <v>269302</v>
      </c>
      <c r="G27" s="27"/>
    </row>
    <row r="28" spans="2:7" customFormat="1" ht="25.5" x14ac:dyDescent="0.25">
      <c r="B28" s="375">
        <v>717</v>
      </c>
      <c r="C28" s="376" t="s">
        <v>444</v>
      </c>
      <c r="D28" s="377">
        <v>7977802</v>
      </c>
      <c r="E28" s="377">
        <v>9488099</v>
      </c>
      <c r="F28" s="378">
        <v>6487830</v>
      </c>
      <c r="G28" s="27"/>
    </row>
    <row r="29" spans="2:7" s="623" customFormat="1" ht="15" x14ac:dyDescent="0.25">
      <c r="B29" s="375">
        <v>719</v>
      </c>
      <c r="C29" s="376"/>
      <c r="D29" s="377">
        <v>0</v>
      </c>
      <c r="E29" s="377">
        <v>646440</v>
      </c>
      <c r="F29" s="378">
        <v>646440</v>
      </c>
      <c r="G29" s="524"/>
    </row>
    <row r="30" spans="2:7" customFormat="1" ht="15.75" thickBot="1" x14ac:dyDescent="0.3">
      <c r="B30" s="379">
        <v>720</v>
      </c>
      <c r="C30" s="380" t="s">
        <v>445</v>
      </c>
      <c r="D30" s="381">
        <v>30000</v>
      </c>
      <c r="E30" s="381">
        <v>30000</v>
      </c>
      <c r="F30" s="382">
        <v>30000</v>
      </c>
    </row>
    <row r="31" spans="2:7" customFormat="1" ht="15" x14ac:dyDescent="0.25">
      <c r="B31" s="27"/>
      <c r="C31" s="27"/>
      <c r="D31" s="27"/>
      <c r="E31" s="27"/>
      <c r="F31" s="148"/>
    </row>
    <row r="32" spans="2:7" customFormat="1" ht="15" x14ac:dyDescent="0.25">
      <c r="B32" s="27"/>
      <c r="C32" s="27"/>
      <c r="D32" s="27"/>
      <c r="E32" s="27"/>
      <c r="F32" s="383"/>
    </row>
    <row r="33" spans="2:6" customFormat="1" ht="15" x14ac:dyDescent="0.25">
      <c r="B33" s="27"/>
      <c r="C33" s="27"/>
      <c r="D33" s="27"/>
      <c r="E33" s="27"/>
      <c r="F33" s="383"/>
    </row>
    <row r="34" spans="2:6" customFormat="1" ht="15" x14ac:dyDescent="0.25">
      <c r="B34" s="27"/>
      <c r="C34" s="27"/>
      <c r="D34" s="27"/>
      <c r="E34" s="27"/>
      <c r="F34" s="316"/>
    </row>
    <row r="35" spans="2:6" customFormat="1" ht="15" x14ac:dyDescent="0.25">
      <c r="B35" s="27"/>
      <c r="C35" s="27"/>
      <c r="D35" s="27"/>
      <c r="E35" s="27"/>
      <c r="F35" s="316"/>
    </row>
    <row r="36" spans="2:6" customFormat="1" ht="15" x14ac:dyDescent="0.25">
      <c r="B36" s="27"/>
      <c r="C36" s="27"/>
      <c r="D36" s="27"/>
      <c r="E36" s="27"/>
      <c r="F36" s="316"/>
    </row>
    <row r="37" spans="2:6" customFormat="1" ht="15" x14ac:dyDescent="0.25">
      <c r="B37" s="27"/>
      <c r="C37" s="27"/>
      <c r="D37" s="27"/>
      <c r="E37" s="27"/>
      <c r="F37" s="316"/>
    </row>
    <row r="38" spans="2:6" customFormat="1" ht="15" x14ac:dyDescent="0.25">
      <c r="B38" s="27"/>
      <c r="C38" s="27"/>
      <c r="D38" s="27"/>
      <c r="E38" s="27"/>
      <c r="F38" s="316"/>
    </row>
    <row r="39" spans="2:6" customFormat="1" ht="15" x14ac:dyDescent="0.25">
      <c r="B39" s="27"/>
      <c r="C39" s="27"/>
      <c r="D39" s="27"/>
      <c r="E39" s="27"/>
      <c r="F39" s="66"/>
    </row>
    <row r="49" spans="2:6" customFormat="1" ht="15" x14ac:dyDescent="0.25">
      <c r="B49" s="27"/>
      <c r="C49" s="27"/>
      <c r="D49" s="27"/>
      <c r="E49" s="27"/>
      <c r="F49" s="40"/>
    </row>
  </sheetData>
  <mergeCells count="2">
    <mergeCell ref="B4:F4"/>
    <mergeCell ref="B6:C6"/>
  </mergeCells>
  <pageMargins left="0.70000000000000007" right="0.30000000000000004" top="0.75" bottom="0.75" header="0.30000000000000004" footer="0.30000000000000004"/>
  <pageSetup paperSize="9" fitToWidth="0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B2:K22"/>
  <sheetViews>
    <sheetView workbookViewId="0"/>
  </sheetViews>
  <sheetFormatPr defaultRowHeight="12.75" x14ac:dyDescent="0.2"/>
  <cols>
    <col min="1" max="1" width="9.140625" style="27" customWidth="1"/>
    <col min="2" max="2" width="9.85546875" style="27" customWidth="1"/>
    <col min="3" max="3" width="41.7109375" style="27" customWidth="1"/>
    <col min="4" max="4" width="13.5703125" style="27" customWidth="1"/>
    <col min="5" max="5" width="12.7109375" style="27" customWidth="1"/>
    <col min="6" max="6" width="12.28515625" style="27" customWidth="1"/>
    <col min="7" max="7" width="9.140625" style="27" customWidth="1"/>
    <col min="8" max="16384" width="9.140625" style="27"/>
  </cols>
  <sheetData>
    <row r="2" spans="2:11" x14ac:dyDescent="0.2">
      <c r="F2" s="119" t="s">
        <v>446</v>
      </c>
    </row>
    <row r="4" spans="2:11" ht="42.75" customHeight="1" x14ac:dyDescent="0.2">
      <c r="B4" s="874" t="s">
        <v>566</v>
      </c>
      <c r="C4" s="874"/>
      <c r="D4" s="874"/>
      <c r="E4" s="874"/>
      <c r="F4" s="874"/>
      <c r="G4" s="384"/>
      <c r="H4" s="384"/>
    </row>
    <row r="5" spans="2:11" ht="13.5" thickBot="1" x14ac:dyDescent="0.25"/>
    <row r="6" spans="2:11" ht="36" customHeight="1" x14ac:dyDescent="0.2">
      <c r="B6" s="869" t="s">
        <v>0</v>
      </c>
      <c r="C6" s="869"/>
      <c r="D6" s="321" t="s">
        <v>324</v>
      </c>
      <c r="E6" s="321" t="s">
        <v>325</v>
      </c>
      <c r="F6" s="322" t="s">
        <v>326</v>
      </c>
    </row>
    <row r="7" spans="2:11" ht="18" customHeight="1" x14ac:dyDescent="0.2">
      <c r="B7" s="372"/>
      <c r="C7" s="385" t="s">
        <v>447</v>
      </c>
      <c r="D7" s="374">
        <f>SUM(D8:D10)</f>
        <v>6883377</v>
      </c>
      <c r="E7" s="374">
        <f>SUM(E8:E10)</f>
        <v>8764764</v>
      </c>
      <c r="F7" s="374">
        <f>SUM(F8:F10)</f>
        <v>8669648</v>
      </c>
      <c r="J7" s="148"/>
    </row>
    <row r="8" spans="2:11" x14ac:dyDescent="0.2">
      <c r="B8" s="386">
        <v>455</v>
      </c>
      <c r="C8" s="331" t="s">
        <v>448</v>
      </c>
      <c r="D8" s="335">
        <v>0</v>
      </c>
      <c r="E8" s="335">
        <v>392481</v>
      </c>
      <c r="F8" s="124">
        <v>392549</v>
      </c>
    </row>
    <row r="9" spans="2:11" s="127" customFormat="1" x14ac:dyDescent="0.25">
      <c r="B9" s="213">
        <v>453</v>
      </c>
      <c r="C9" s="247" t="s">
        <v>1024</v>
      </c>
      <c r="D9" s="335">
        <v>4833377</v>
      </c>
      <c r="E9" s="335">
        <v>6322283</v>
      </c>
      <c r="F9" s="124">
        <v>6227099</v>
      </c>
    </row>
    <row r="10" spans="2:11" customFormat="1" ht="15" x14ac:dyDescent="0.25">
      <c r="B10" s="386">
        <v>513002</v>
      </c>
      <c r="C10" s="247" t="s">
        <v>449</v>
      </c>
      <c r="D10" s="335">
        <v>2050000</v>
      </c>
      <c r="E10" s="335">
        <v>2050000</v>
      </c>
      <c r="F10" s="124">
        <v>2050000</v>
      </c>
      <c r="G10" s="27"/>
      <c r="H10" s="27"/>
      <c r="I10" s="27"/>
      <c r="J10" s="27"/>
      <c r="K10" s="27"/>
    </row>
    <row r="11" spans="2:11" customFormat="1" ht="18" customHeight="1" x14ac:dyDescent="0.25">
      <c r="B11" s="372"/>
      <c r="C11" s="385" t="s">
        <v>450</v>
      </c>
      <c r="D11" s="374">
        <f>SUM(D12:D13)</f>
        <v>1934260</v>
      </c>
      <c r="E11" s="374">
        <f>SUM(E12:E13)</f>
        <v>1934260</v>
      </c>
      <c r="F11" s="374">
        <f>SUM(F12:F13)</f>
        <v>1919723</v>
      </c>
      <c r="G11" s="27"/>
      <c r="H11" s="27"/>
      <c r="I11" s="27"/>
      <c r="J11" s="27"/>
      <c r="K11" s="27"/>
    </row>
    <row r="12" spans="2:11" customFormat="1" ht="25.5" x14ac:dyDescent="0.25">
      <c r="B12" s="386">
        <v>821005</v>
      </c>
      <c r="C12" s="171" t="s">
        <v>451</v>
      </c>
      <c r="D12" s="377">
        <v>1826260</v>
      </c>
      <c r="E12" s="377">
        <v>1826260</v>
      </c>
      <c r="F12" s="378">
        <v>1825925</v>
      </c>
      <c r="G12" s="27"/>
      <c r="H12" s="27"/>
      <c r="I12" s="27"/>
      <c r="J12" s="27"/>
      <c r="K12" s="27"/>
    </row>
    <row r="13" spans="2:11" customFormat="1" ht="25.5" customHeight="1" thickBot="1" x14ac:dyDescent="0.3">
      <c r="B13" s="387">
        <v>821007</v>
      </c>
      <c r="C13" s="338" t="s">
        <v>452</v>
      </c>
      <c r="D13" s="381">
        <v>108000</v>
      </c>
      <c r="E13" s="381">
        <v>108000</v>
      </c>
      <c r="F13" s="382">
        <v>93798</v>
      </c>
      <c r="G13" s="27"/>
      <c r="H13" s="27"/>
      <c r="I13" s="27"/>
      <c r="J13" s="27"/>
      <c r="K13" s="27"/>
    </row>
    <row r="22" spans="2:11" customFormat="1" ht="15" x14ac:dyDescent="0.25">
      <c r="B22" s="27"/>
      <c r="C22" s="27"/>
      <c r="D22" s="27"/>
      <c r="E22" s="27"/>
      <c r="F22" s="27"/>
      <c r="G22" s="27"/>
      <c r="H22" s="27"/>
      <c r="I22" s="27"/>
      <c r="J22" s="27"/>
      <c r="K22" s="40"/>
    </row>
  </sheetData>
  <mergeCells count="2">
    <mergeCell ref="B4:F4"/>
    <mergeCell ref="B6:C6"/>
  </mergeCells>
  <pageMargins left="0.46" right="0.25" top="0.75" bottom="0.75" header="0.30000000000000004" footer="0.30000000000000004"/>
  <pageSetup paperSize="9" fitToWidth="0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B1:L32"/>
  <sheetViews>
    <sheetView workbookViewId="0"/>
  </sheetViews>
  <sheetFormatPr defaultColWidth="9.140625" defaultRowHeight="14.25" x14ac:dyDescent="0.2"/>
  <cols>
    <col min="1" max="1" width="4" style="1" customWidth="1"/>
    <col min="2" max="2" width="21.140625" style="1" customWidth="1"/>
    <col min="3" max="3" width="12.85546875" style="1" customWidth="1"/>
    <col min="4" max="4" width="12.140625" style="1" customWidth="1"/>
    <col min="5" max="5" width="10.42578125" style="1" customWidth="1"/>
    <col min="6" max="6" width="13.7109375" style="1" customWidth="1"/>
    <col min="7" max="7" width="13.42578125" style="1" customWidth="1"/>
    <col min="8" max="8" width="13.5703125" style="1" customWidth="1"/>
    <col min="9" max="9" width="14.5703125" style="1" customWidth="1"/>
    <col min="10" max="10" width="6.85546875" style="1" customWidth="1"/>
    <col min="11" max="11" width="4.7109375" style="1" customWidth="1"/>
    <col min="12" max="16384" width="9.140625" style="1"/>
  </cols>
  <sheetData>
    <row r="1" spans="2:9" s="623" customFormat="1" ht="15" x14ac:dyDescent="0.25">
      <c r="B1" s="1"/>
      <c r="C1" s="1"/>
      <c r="D1" s="1"/>
      <c r="E1" s="1"/>
      <c r="F1" s="1"/>
      <c r="G1" s="1"/>
      <c r="H1" s="1"/>
      <c r="I1" s="1"/>
    </row>
    <row r="2" spans="2:9" s="623" customFormat="1" ht="15" x14ac:dyDescent="0.25">
      <c r="B2" s="1"/>
      <c r="C2" s="1"/>
      <c r="D2" s="1"/>
      <c r="E2" s="1"/>
      <c r="F2" s="1"/>
      <c r="G2" s="1"/>
      <c r="H2" s="1"/>
      <c r="I2" s="1" t="s">
        <v>453</v>
      </c>
    </row>
    <row r="3" spans="2:9" s="623" customFormat="1" ht="18" x14ac:dyDescent="0.25">
      <c r="B3" s="787" t="s">
        <v>919</v>
      </c>
      <c r="C3" s="787"/>
      <c r="D3" s="787"/>
      <c r="E3" s="787"/>
      <c r="F3" s="787"/>
      <c r="G3" s="787"/>
      <c r="H3" s="787"/>
      <c r="I3" s="787"/>
    </row>
    <row r="4" spans="2:9" s="623" customFormat="1" ht="15" x14ac:dyDescent="0.25">
      <c r="B4" s="1"/>
      <c r="C4" s="1"/>
      <c r="D4" s="1"/>
      <c r="E4" s="1"/>
      <c r="F4" s="1"/>
      <c r="G4" s="1"/>
      <c r="H4" s="1"/>
      <c r="I4" s="1"/>
    </row>
    <row r="5" spans="2:9" s="623" customFormat="1" ht="15.75" thickBot="1" x14ac:dyDescent="0.3">
      <c r="B5" s="1"/>
      <c r="C5" s="1"/>
      <c r="D5" s="1"/>
      <c r="E5" s="1"/>
      <c r="F5" s="1"/>
      <c r="G5" s="1"/>
      <c r="H5" s="1"/>
      <c r="I5" s="1"/>
    </row>
    <row r="6" spans="2:9" s="623" customFormat="1" ht="15.75" thickBot="1" x14ac:dyDescent="0.3">
      <c r="B6" s="876"/>
      <c r="C6" s="877" t="s">
        <v>454</v>
      </c>
      <c r="D6" s="877" t="s">
        <v>455</v>
      </c>
      <c r="E6" s="877" t="s">
        <v>456</v>
      </c>
      <c r="F6" s="877" t="s">
        <v>457</v>
      </c>
      <c r="G6" s="877" t="s">
        <v>458</v>
      </c>
      <c r="H6" s="877" t="s">
        <v>459</v>
      </c>
      <c r="I6" s="878" t="s">
        <v>460</v>
      </c>
    </row>
    <row r="7" spans="2:9" s="623" customFormat="1" ht="16.5" thickTop="1" thickBot="1" x14ac:dyDescent="0.3">
      <c r="B7" s="876"/>
      <c r="C7" s="877"/>
      <c r="D7" s="877"/>
      <c r="E7" s="877"/>
      <c r="F7" s="877"/>
      <c r="G7" s="877"/>
      <c r="H7" s="877"/>
      <c r="I7" s="878"/>
    </row>
    <row r="8" spans="2:9" s="623" customFormat="1" ht="16.5" thickTop="1" thickBot="1" x14ac:dyDescent="0.3">
      <c r="B8" s="876"/>
      <c r="C8" s="877"/>
      <c r="D8" s="877"/>
      <c r="E8" s="877"/>
      <c r="F8" s="877"/>
      <c r="G8" s="877"/>
      <c r="H8" s="877"/>
      <c r="I8" s="878"/>
    </row>
    <row r="9" spans="2:9" s="623" customFormat="1" ht="15.75" thickTop="1" x14ac:dyDescent="0.25">
      <c r="B9" s="388" t="s">
        <v>461</v>
      </c>
      <c r="C9" s="625">
        <v>30.7</v>
      </c>
      <c r="D9" s="626">
        <v>1.65</v>
      </c>
      <c r="E9" s="626">
        <v>2</v>
      </c>
      <c r="F9" s="627">
        <v>5.8</v>
      </c>
      <c r="G9" s="627">
        <v>6</v>
      </c>
      <c r="H9" s="627">
        <v>6.5</v>
      </c>
      <c r="I9" s="389">
        <f>SUM(C9:H9)</f>
        <v>52.65</v>
      </c>
    </row>
    <row r="10" spans="2:9" s="623" customFormat="1" ht="15" x14ac:dyDescent="0.25">
      <c r="B10" s="469" t="s">
        <v>462</v>
      </c>
      <c r="C10" s="628">
        <v>39.22</v>
      </c>
      <c r="D10" s="629">
        <v>1.6</v>
      </c>
      <c r="E10" s="629">
        <v>0.5</v>
      </c>
      <c r="F10" s="630">
        <v>7.49</v>
      </c>
      <c r="G10" s="630">
        <v>6.8</v>
      </c>
      <c r="H10" s="630">
        <v>8.83</v>
      </c>
      <c r="I10" s="389">
        <f t="shared" ref="I10:I19" si="0">SUM(C10:H10)</f>
        <v>64.44</v>
      </c>
    </row>
    <row r="11" spans="2:9" s="623" customFormat="1" ht="15" x14ac:dyDescent="0.25">
      <c r="B11" s="469" t="s">
        <v>463</v>
      </c>
      <c r="C11" s="628">
        <v>58.29</v>
      </c>
      <c r="D11" s="629">
        <v>2</v>
      </c>
      <c r="E11" s="629">
        <v>1</v>
      </c>
      <c r="F11" s="630">
        <v>12.38</v>
      </c>
      <c r="G11" s="630">
        <v>11.55</v>
      </c>
      <c r="H11" s="631">
        <v>0</v>
      </c>
      <c r="I11" s="389">
        <f t="shared" si="0"/>
        <v>85.22</v>
      </c>
    </row>
    <row r="12" spans="2:9" s="623" customFormat="1" ht="15" x14ac:dyDescent="0.25">
      <c r="B12" s="469" t="s">
        <v>464</v>
      </c>
      <c r="C12" s="628">
        <v>29.78</v>
      </c>
      <c r="D12" s="629">
        <v>2.7</v>
      </c>
      <c r="E12" s="629">
        <v>1</v>
      </c>
      <c r="F12" s="630">
        <v>4.5</v>
      </c>
      <c r="G12" s="631">
        <v>6</v>
      </c>
      <c r="H12" s="631">
        <v>5</v>
      </c>
      <c r="I12" s="389">
        <f t="shared" si="0"/>
        <v>48.980000000000004</v>
      </c>
    </row>
    <row r="13" spans="2:9" s="623" customFormat="1" ht="15" x14ac:dyDescent="0.25">
      <c r="B13" s="469" t="s">
        <v>465</v>
      </c>
      <c r="C13" s="628">
        <v>21.8</v>
      </c>
      <c r="D13" s="632">
        <v>2.5</v>
      </c>
      <c r="E13" s="632">
        <v>3</v>
      </c>
      <c r="F13" s="630">
        <v>5</v>
      </c>
      <c r="G13" s="631">
        <v>6</v>
      </c>
      <c r="H13" s="631">
        <v>7</v>
      </c>
      <c r="I13" s="389">
        <f t="shared" si="0"/>
        <v>45.3</v>
      </c>
    </row>
    <row r="14" spans="2:9" s="623" customFormat="1" ht="15" x14ac:dyDescent="0.25">
      <c r="B14" s="469" t="s">
        <v>466</v>
      </c>
      <c r="C14" s="633">
        <v>56.6</v>
      </c>
      <c r="D14" s="634">
        <v>3</v>
      </c>
      <c r="E14" s="634">
        <v>3</v>
      </c>
      <c r="F14" s="630">
        <v>9</v>
      </c>
      <c r="G14" s="631">
        <v>11</v>
      </c>
      <c r="H14" s="631">
        <v>10</v>
      </c>
      <c r="I14" s="389">
        <f t="shared" si="0"/>
        <v>92.6</v>
      </c>
    </row>
    <row r="15" spans="2:9" s="623" customFormat="1" ht="15" x14ac:dyDescent="0.25">
      <c r="B15" s="469" t="s">
        <v>467</v>
      </c>
      <c r="C15" s="635">
        <v>16.739999999999998</v>
      </c>
      <c r="D15" s="634">
        <v>1.3</v>
      </c>
      <c r="E15" s="634">
        <v>1</v>
      </c>
      <c r="F15" s="630">
        <v>2.6</v>
      </c>
      <c r="G15" s="631">
        <v>6</v>
      </c>
      <c r="H15" s="631">
        <v>6</v>
      </c>
      <c r="I15" s="389">
        <f t="shared" si="0"/>
        <v>33.64</v>
      </c>
    </row>
    <row r="16" spans="2:9" s="623" customFormat="1" ht="15" x14ac:dyDescent="0.25">
      <c r="B16" s="469" t="s">
        <v>468</v>
      </c>
      <c r="C16" s="636">
        <v>42.08</v>
      </c>
      <c r="D16" s="634">
        <v>1.3</v>
      </c>
      <c r="E16" s="634">
        <v>2.5</v>
      </c>
      <c r="F16" s="630">
        <v>7.6</v>
      </c>
      <c r="G16" s="631">
        <v>10.199999999999999</v>
      </c>
      <c r="H16" s="631">
        <v>9.5</v>
      </c>
      <c r="I16" s="389">
        <f t="shared" si="0"/>
        <v>73.179999999999993</v>
      </c>
    </row>
    <row r="17" spans="2:12" s="623" customFormat="1" ht="15" x14ac:dyDescent="0.25">
      <c r="B17" s="469" t="s">
        <v>469</v>
      </c>
      <c r="C17" s="628">
        <v>4.01</v>
      </c>
      <c r="D17" s="626">
        <v>0</v>
      </c>
      <c r="E17" s="626">
        <v>0</v>
      </c>
      <c r="F17" s="630">
        <v>1</v>
      </c>
      <c r="G17" s="631">
        <v>1</v>
      </c>
      <c r="H17" s="631">
        <v>0</v>
      </c>
      <c r="I17" s="389">
        <f t="shared" si="0"/>
        <v>6.01</v>
      </c>
      <c r="J17" s="1"/>
      <c r="K17" s="1"/>
      <c r="L17" s="1"/>
    </row>
    <row r="18" spans="2:12" s="623" customFormat="1" ht="16.5" customHeight="1" x14ac:dyDescent="0.25">
      <c r="B18" s="469" t="s">
        <v>470</v>
      </c>
      <c r="C18" s="628">
        <v>32.6</v>
      </c>
      <c r="D18" s="629">
        <v>0</v>
      </c>
      <c r="E18" s="629">
        <v>0</v>
      </c>
      <c r="F18" s="630">
        <v>0</v>
      </c>
      <c r="G18" s="631">
        <v>7.3</v>
      </c>
      <c r="H18" s="631">
        <v>0</v>
      </c>
      <c r="I18" s="389">
        <f t="shared" si="0"/>
        <v>39.9</v>
      </c>
      <c r="J18" s="1"/>
      <c r="K18" s="1"/>
      <c r="L18" s="1"/>
    </row>
    <row r="19" spans="2:12" s="623" customFormat="1" ht="15" x14ac:dyDescent="0.25">
      <c r="B19" s="476" t="s">
        <v>471</v>
      </c>
      <c r="C19" s="637">
        <v>6</v>
      </c>
      <c r="D19" s="632">
        <v>0</v>
      </c>
      <c r="E19" s="632">
        <v>0</v>
      </c>
      <c r="F19" s="638">
        <v>0</v>
      </c>
      <c r="G19" s="639">
        <v>1.5</v>
      </c>
      <c r="H19" s="639">
        <v>0</v>
      </c>
      <c r="I19" s="389">
        <f t="shared" si="0"/>
        <v>7.5</v>
      </c>
      <c r="J19" s="390"/>
      <c r="K19" s="1"/>
      <c r="L19" s="1"/>
    </row>
    <row r="20" spans="2:12" s="623" customFormat="1" ht="15.75" thickBot="1" x14ac:dyDescent="0.3">
      <c r="B20" s="391" t="s">
        <v>164</v>
      </c>
      <c r="C20" s="392">
        <f t="shared" ref="C20:I20" si="1">SUM(C9:C19)</f>
        <v>337.82000000000005</v>
      </c>
      <c r="D20" s="392">
        <f>SUM(D9:D19)</f>
        <v>16.05</v>
      </c>
      <c r="E20" s="640">
        <f>SUM(E9:E19)</f>
        <v>14</v>
      </c>
      <c r="F20" s="392">
        <f>SUM(F9:F19)</f>
        <v>55.370000000000005</v>
      </c>
      <c r="G20" s="392">
        <f>G9+G10+G11+G12+G13+G14+G15+G16+G17+G18+G19</f>
        <v>73.349999999999994</v>
      </c>
      <c r="H20" s="392">
        <f>H9+H10+H11+H12+H13+H14+H15+H16+H17+H18+H19</f>
        <v>52.83</v>
      </c>
      <c r="I20" s="393">
        <f t="shared" si="1"/>
        <v>549.42000000000007</v>
      </c>
      <c r="J20" s="1"/>
      <c r="K20" s="1"/>
      <c r="L20" s="1"/>
    </row>
    <row r="21" spans="2:12" s="623" customFormat="1" ht="15" x14ac:dyDescent="0.25">
      <c r="B21" s="1"/>
      <c r="C21" s="1"/>
      <c r="D21" s="1"/>
      <c r="E21" s="1"/>
      <c r="F21" s="1"/>
      <c r="G21" s="1"/>
      <c r="H21" s="1"/>
      <c r="I21" s="217"/>
      <c r="J21" s="1"/>
      <c r="K21" s="1"/>
      <c r="L21" s="1"/>
    </row>
    <row r="28" spans="2:12" s="623" customFormat="1" ht="15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829"/>
    </row>
    <row r="29" spans="2:12" s="623" customFormat="1" ht="15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829"/>
    </row>
    <row r="30" spans="2:12" s="623" customFormat="1" ht="15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829"/>
    </row>
    <row r="31" spans="2:12" s="623" customFormat="1" ht="1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829"/>
    </row>
    <row r="32" spans="2:12" s="623" customFormat="1" ht="15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829"/>
    </row>
  </sheetData>
  <mergeCells count="10">
    <mergeCell ref="L28:L32"/>
    <mergeCell ref="B3:I3"/>
    <mergeCell ref="B6:B8"/>
    <mergeCell ref="C6:C8"/>
    <mergeCell ref="D6:D8"/>
    <mergeCell ref="E6:E8"/>
    <mergeCell ref="F6:F8"/>
    <mergeCell ref="G6:G8"/>
    <mergeCell ref="H6:H8"/>
    <mergeCell ref="I6:I8"/>
  </mergeCells>
  <pageMargins left="0.11811023622047202" right="0.11811023622047202" top="0.74803149606299213" bottom="0.74803149606299213" header="0.31496062992126012" footer="0.31496062992126012"/>
  <pageSetup paperSize="9" scale="90" fitToWidth="0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V27"/>
  <sheetViews>
    <sheetView workbookViewId="0"/>
  </sheetViews>
  <sheetFormatPr defaultRowHeight="14.25" x14ac:dyDescent="0.2"/>
  <cols>
    <col min="1" max="1" width="18.42578125" style="1" customWidth="1"/>
    <col min="2" max="2" width="5.85546875" style="1" customWidth="1"/>
    <col min="3" max="3" width="5.5703125" style="1" customWidth="1"/>
    <col min="4" max="4" width="5.7109375" style="1" customWidth="1"/>
    <col min="5" max="5" width="5.42578125" style="1" customWidth="1"/>
    <col min="6" max="6" width="8" style="1" customWidth="1"/>
    <col min="7" max="7" width="6" style="1" customWidth="1"/>
    <col min="8" max="9" width="5.5703125" style="1" customWidth="1"/>
    <col min="10" max="10" width="5" style="1" customWidth="1"/>
    <col min="11" max="11" width="5.7109375" style="1" customWidth="1"/>
    <col min="12" max="12" width="8.28515625" style="1" customWidth="1"/>
    <col min="13" max="13" width="8" style="1" customWidth="1"/>
    <col min="14" max="14" width="11.140625" style="1" customWidth="1"/>
    <col min="15" max="15" width="8.42578125" style="1" customWidth="1"/>
    <col min="16" max="16" width="6.42578125" style="1" customWidth="1"/>
    <col min="17" max="18" width="8.42578125" style="1" customWidth="1"/>
    <col min="19" max="19" width="9.140625" style="1" customWidth="1"/>
    <col min="20" max="16384" width="9.140625" style="1"/>
  </cols>
  <sheetData>
    <row r="1" spans="1:22" customFormat="1" ht="15" x14ac:dyDescent="0.25">
      <c r="A1" s="579"/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</row>
    <row r="2" spans="1:22" customFormat="1" ht="15" x14ac:dyDescent="0.25">
      <c r="A2" s="579"/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80" t="s">
        <v>472</v>
      </c>
      <c r="S2" s="579"/>
      <c r="T2" s="579"/>
      <c r="U2" s="579"/>
      <c r="V2" s="579"/>
    </row>
    <row r="3" spans="1:22" customFormat="1" ht="15" x14ac:dyDescent="0.25">
      <c r="A3" s="879"/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79"/>
      <c r="O3" s="879"/>
      <c r="P3" s="879"/>
      <c r="Q3" s="879"/>
      <c r="R3" s="879"/>
      <c r="S3" s="579"/>
      <c r="T3" s="579"/>
      <c r="U3" s="579"/>
      <c r="V3" s="579"/>
    </row>
    <row r="4" spans="1:22" customFormat="1" ht="17.100000000000001" customHeight="1" thickBot="1" x14ac:dyDescent="0.3">
      <c r="A4" s="880" t="s">
        <v>868</v>
      </c>
      <c r="B4" s="880"/>
      <c r="C4" s="880"/>
      <c r="D4" s="880"/>
      <c r="E4" s="880"/>
      <c r="F4" s="880"/>
      <c r="G4" s="880"/>
      <c r="H4" s="880"/>
      <c r="I4" s="880"/>
      <c r="J4" s="880"/>
      <c r="K4" s="880"/>
      <c r="L4" s="880"/>
      <c r="M4" s="880"/>
      <c r="N4" s="880"/>
      <c r="O4" s="880"/>
      <c r="P4" s="880"/>
      <c r="Q4" s="880"/>
      <c r="R4" s="579"/>
      <c r="S4" s="579"/>
      <c r="T4" s="579"/>
      <c r="U4" s="579"/>
      <c r="V4" s="579"/>
    </row>
    <row r="5" spans="1:22" customFormat="1" ht="21.95" customHeight="1" x14ac:dyDescent="0.25">
      <c r="A5" s="881" t="s">
        <v>869</v>
      </c>
      <c r="B5" s="881"/>
      <c r="C5" s="881"/>
      <c r="D5" s="881"/>
      <c r="E5" s="881"/>
      <c r="F5" s="881"/>
      <c r="G5" s="881"/>
      <c r="H5" s="881"/>
      <c r="I5" s="881"/>
      <c r="J5" s="881"/>
      <c r="K5" s="881"/>
      <c r="L5" s="881"/>
      <c r="M5" s="881"/>
      <c r="N5" s="881"/>
      <c r="O5" s="881"/>
      <c r="P5" s="881"/>
      <c r="Q5" s="881"/>
      <c r="R5" s="881"/>
      <c r="S5" s="579"/>
      <c r="T5" s="579"/>
      <c r="U5" s="579"/>
      <c r="V5" s="579"/>
    </row>
    <row r="6" spans="1:22" customFormat="1" ht="8.25" customHeight="1" x14ac:dyDescent="0.25">
      <c r="A6" s="882"/>
      <c r="B6" s="882"/>
      <c r="C6" s="882"/>
      <c r="D6" s="882"/>
      <c r="E6" s="882"/>
      <c r="F6" s="882"/>
      <c r="G6" s="882"/>
      <c r="H6" s="882"/>
      <c r="I6" s="882"/>
      <c r="J6" s="882"/>
      <c r="K6" s="882"/>
      <c r="L6" s="882"/>
      <c r="M6" s="882"/>
      <c r="N6" s="882"/>
      <c r="O6" s="882"/>
      <c r="P6" s="882"/>
      <c r="Q6" s="882"/>
      <c r="R6" s="882"/>
      <c r="S6" s="579"/>
      <c r="T6" s="579"/>
      <c r="U6" s="579"/>
      <c r="V6" s="579"/>
    </row>
    <row r="7" spans="1:22" s="67" customFormat="1" ht="42" customHeight="1" x14ac:dyDescent="0.25">
      <c r="A7" s="594" t="s">
        <v>473</v>
      </c>
      <c r="B7" s="597" t="s">
        <v>10</v>
      </c>
      <c r="C7" s="597" t="s">
        <v>12</v>
      </c>
      <c r="D7" s="597" t="s">
        <v>14</v>
      </c>
      <c r="E7" s="597" t="s">
        <v>16</v>
      </c>
      <c r="F7" s="597" t="s">
        <v>474</v>
      </c>
      <c r="G7" s="597" t="s">
        <v>18</v>
      </c>
      <c r="H7" s="597" t="s">
        <v>20</v>
      </c>
      <c r="I7" s="597" t="s">
        <v>22</v>
      </c>
      <c r="J7" s="597" t="s">
        <v>24</v>
      </c>
      <c r="K7" s="597" t="s">
        <v>27</v>
      </c>
      <c r="L7" s="597" t="s">
        <v>475</v>
      </c>
      <c r="M7" s="598" t="s">
        <v>476</v>
      </c>
      <c r="N7" s="598" t="s">
        <v>477</v>
      </c>
      <c r="O7" s="598" t="s">
        <v>478</v>
      </c>
      <c r="P7" s="598" t="s">
        <v>479</v>
      </c>
      <c r="Q7" s="598" t="s">
        <v>480</v>
      </c>
      <c r="R7" s="599" t="s">
        <v>481</v>
      </c>
      <c r="S7" s="581"/>
      <c r="T7" s="581"/>
      <c r="U7" s="581"/>
      <c r="V7" s="581"/>
    </row>
    <row r="8" spans="1:22" customFormat="1" ht="15" x14ac:dyDescent="0.25">
      <c r="A8" s="594" t="s">
        <v>482</v>
      </c>
      <c r="B8" s="582">
        <v>59</v>
      </c>
      <c r="C8" s="582">
        <v>67</v>
      </c>
      <c r="D8" s="582">
        <v>48</v>
      </c>
      <c r="E8" s="582">
        <v>64</v>
      </c>
      <c r="F8" s="592">
        <v>238</v>
      </c>
      <c r="G8" s="582">
        <v>64</v>
      </c>
      <c r="H8" s="582">
        <v>52</v>
      </c>
      <c r="I8" s="582">
        <v>40</v>
      </c>
      <c r="J8" s="582">
        <v>54</v>
      </c>
      <c r="K8" s="582">
        <v>43</v>
      </c>
      <c r="L8" s="592">
        <v>253</v>
      </c>
      <c r="M8" s="593">
        <v>491</v>
      </c>
      <c r="N8" s="600">
        <v>21</v>
      </c>
      <c r="O8" s="582">
        <v>22</v>
      </c>
      <c r="P8" s="582">
        <v>220</v>
      </c>
      <c r="Q8" s="582">
        <v>16</v>
      </c>
      <c r="R8" s="583">
        <v>1</v>
      </c>
      <c r="S8" s="579"/>
      <c r="T8" s="579"/>
      <c r="U8" s="579"/>
      <c r="V8" s="579"/>
    </row>
    <row r="9" spans="1:22" customFormat="1" ht="15" x14ac:dyDescent="0.25">
      <c r="A9" s="594" t="s">
        <v>483</v>
      </c>
      <c r="B9" s="582">
        <v>66</v>
      </c>
      <c r="C9" s="582">
        <v>72</v>
      </c>
      <c r="D9" s="582">
        <v>73</v>
      </c>
      <c r="E9" s="582">
        <v>75</v>
      </c>
      <c r="F9" s="592">
        <v>286</v>
      </c>
      <c r="G9" s="582">
        <v>78</v>
      </c>
      <c r="H9" s="582">
        <v>69</v>
      </c>
      <c r="I9" s="582">
        <v>69</v>
      </c>
      <c r="J9" s="582">
        <v>69</v>
      </c>
      <c r="K9" s="582">
        <v>61</v>
      </c>
      <c r="L9" s="592">
        <v>346</v>
      </c>
      <c r="M9" s="593">
        <v>632</v>
      </c>
      <c r="N9" s="600">
        <v>1</v>
      </c>
      <c r="O9" s="582">
        <v>27</v>
      </c>
      <c r="P9" s="582">
        <v>266</v>
      </c>
      <c r="Q9" s="582">
        <v>9</v>
      </c>
      <c r="R9" s="583">
        <v>0</v>
      </c>
      <c r="S9" s="579"/>
      <c r="T9" s="579"/>
      <c r="U9" s="579"/>
      <c r="V9" s="579"/>
    </row>
    <row r="10" spans="1:22" customFormat="1" ht="15" x14ac:dyDescent="0.25">
      <c r="A10" s="594" t="s">
        <v>484</v>
      </c>
      <c r="B10" s="582">
        <v>87</v>
      </c>
      <c r="C10" s="582">
        <v>82</v>
      </c>
      <c r="D10" s="582">
        <v>102</v>
      </c>
      <c r="E10" s="582">
        <v>98</v>
      </c>
      <c r="F10" s="592">
        <v>369</v>
      </c>
      <c r="G10" s="582">
        <v>103</v>
      </c>
      <c r="H10" s="582">
        <v>98</v>
      </c>
      <c r="I10" s="582">
        <v>89</v>
      </c>
      <c r="J10" s="582">
        <v>109</v>
      </c>
      <c r="K10" s="582">
        <v>98</v>
      </c>
      <c r="L10" s="592">
        <v>497</v>
      </c>
      <c r="M10" s="593">
        <v>866</v>
      </c>
      <c r="N10" s="600">
        <v>0</v>
      </c>
      <c r="O10" s="582">
        <v>39</v>
      </c>
      <c r="P10" s="582">
        <v>333</v>
      </c>
      <c r="Q10" s="582">
        <v>31</v>
      </c>
      <c r="R10" s="583">
        <v>3</v>
      </c>
      <c r="S10" s="579"/>
      <c r="T10" s="579"/>
      <c r="U10" s="579"/>
      <c r="V10" s="579"/>
    </row>
    <row r="11" spans="1:22" customFormat="1" ht="15" x14ac:dyDescent="0.25">
      <c r="A11" s="594" t="s">
        <v>485</v>
      </c>
      <c r="B11" s="582">
        <v>62</v>
      </c>
      <c r="C11" s="582">
        <v>55</v>
      </c>
      <c r="D11" s="582">
        <v>44</v>
      </c>
      <c r="E11" s="582">
        <v>49</v>
      </c>
      <c r="F11" s="592">
        <v>210</v>
      </c>
      <c r="G11" s="582">
        <v>55</v>
      </c>
      <c r="H11" s="582">
        <v>43</v>
      </c>
      <c r="I11" s="582">
        <v>43</v>
      </c>
      <c r="J11" s="582">
        <v>33</v>
      </c>
      <c r="K11" s="582">
        <v>35</v>
      </c>
      <c r="L11" s="592">
        <v>209</v>
      </c>
      <c r="M11" s="593">
        <v>419</v>
      </c>
      <c r="N11" s="600">
        <v>21</v>
      </c>
      <c r="O11" s="582">
        <v>23</v>
      </c>
      <c r="P11" s="582">
        <v>168</v>
      </c>
      <c r="Q11" s="582">
        <v>25</v>
      </c>
      <c r="R11" s="583">
        <v>0</v>
      </c>
      <c r="S11" s="579"/>
      <c r="T11" s="579"/>
      <c r="U11" s="579"/>
      <c r="V11" s="579"/>
    </row>
    <row r="12" spans="1:22" customFormat="1" ht="15" x14ac:dyDescent="0.25">
      <c r="A12" s="594" t="s">
        <v>486</v>
      </c>
      <c r="B12" s="584">
        <v>32</v>
      </c>
      <c r="C12" s="584">
        <v>40</v>
      </c>
      <c r="D12" s="584">
        <v>41</v>
      </c>
      <c r="E12" s="584">
        <v>25</v>
      </c>
      <c r="F12" s="592">
        <v>138</v>
      </c>
      <c r="G12" s="582">
        <v>38</v>
      </c>
      <c r="H12" s="582">
        <v>28</v>
      </c>
      <c r="I12" s="582">
        <v>22</v>
      </c>
      <c r="J12" s="582">
        <v>15</v>
      </c>
      <c r="K12" s="582">
        <v>21</v>
      </c>
      <c r="L12" s="592">
        <v>123</v>
      </c>
      <c r="M12" s="593">
        <v>261</v>
      </c>
      <c r="N12" s="600">
        <v>8</v>
      </c>
      <c r="O12" s="582">
        <v>13</v>
      </c>
      <c r="P12" s="582">
        <v>123</v>
      </c>
      <c r="Q12" s="582">
        <v>25</v>
      </c>
      <c r="R12" s="583">
        <v>1</v>
      </c>
      <c r="S12" s="579"/>
      <c r="T12" s="579"/>
      <c r="U12" s="579"/>
      <c r="V12" s="579"/>
    </row>
    <row r="13" spans="1:22" customFormat="1" ht="15" x14ac:dyDescent="0.25">
      <c r="A13" s="594" t="s">
        <v>487</v>
      </c>
      <c r="B13" s="582">
        <v>66</v>
      </c>
      <c r="C13" s="582">
        <v>88</v>
      </c>
      <c r="D13" s="582">
        <v>90</v>
      </c>
      <c r="E13" s="582">
        <v>82</v>
      </c>
      <c r="F13" s="592">
        <v>326</v>
      </c>
      <c r="G13" s="582">
        <v>111</v>
      </c>
      <c r="H13" s="582">
        <v>67</v>
      </c>
      <c r="I13" s="582">
        <v>75</v>
      </c>
      <c r="J13" s="582">
        <v>75</v>
      </c>
      <c r="K13" s="582">
        <v>70</v>
      </c>
      <c r="L13" s="592">
        <v>398</v>
      </c>
      <c r="M13" s="593">
        <v>724</v>
      </c>
      <c r="N13" s="600">
        <v>-27</v>
      </c>
      <c r="O13" s="582">
        <v>32</v>
      </c>
      <c r="P13" s="582">
        <v>257</v>
      </c>
      <c r="Q13" s="582">
        <v>26</v>
      </c>
      <c r="R13" s="583">
        <v>2</v>
      </c>
      <c r="S13" s="579"/>
      <c r="T13" s="579"/>
      <c r="U13" s="579"/>
      <c r="V13" s="579"/>
    </row>
    <row r="14" spans="1:22" customFormat="1" ht="15" x14ac:dyDescent="0.25">
      <c r="A14" s="594" t="s">
        <v>488</v>
      </c>
      <c r="B14" s="582">
        <v>11</v>
      </c>
      <c r="C14" s="582">
        <v>10</v>
      </c>
      <c r="D14" s="582">
        <v>13</v>
      </c>
      <c r="E14" s="582">
        <v>9</v>
      </c>
      <c r="F14" s="592">
        <v>43</v>
      </c>
      <c r="G14" s="582"/>
      <c r="H14" s="582"/>
      <c r="I14" s="582"/>
      <c r="J14" s="582"/>
      <c r="K14" s="582"/>
      <c r="L14" s="592"/>
      <c r="M14" s="593">
        <v>43</v>
      </c>
      <c r="N14" s="600">
        <v>-6</v>
      </c>
      <c r="O14" s="582">
        <v>3</v>
      </c>
      <c r="P14" s="582">
        <v>28</v>
      </c>
      <c r="Q14" s="582">
        <v>1</v>
      </c>
      <c r="R14" s="583">
        <v>0</v>
      </c>
      <c r="S14" s="579"/>
      <c r="T14" s="579"/>
      <c r="U14" s="579"/>
      <c r="V14" s="579"/>
    </row>
    <row r="15" spans="1:22" customFormat="1" ht="15" x14ac:dyDescent="0.25">
      <c r="A15" s="594" t="s">
        <v>489</v>
      </c>
      <c r="B15" s="582">
        <v>95</v>
      </c>
      <c r="C15" s="582">
        <v>83</v>
      </c>
      <c r="D15" s="582">
        <v>91</v>
      </c>
      <c r="E15" s="582">
        <v>82</v>
      </c>
      <c r="F15" s="592">
        <v>351</v>
      </c>
      <c r="G15" s="582">
        <v>72</v>
      </c>
      <c r="H15" s="582">
        <v>77</v>
      </c>
      <c r="I15" s="582">
        <v>73</v>
      </c>
      <c r="J15" s="582">
        <v>67</v>
      </c>
      <c r="K15" s="582">
        <v>63</v>
      </c>
      <c r="L15" s="592">
        <v>352</v>
      </c>
      <c r="M15" s="593">
        <v>703</v>
      </c>
      <c r="N15" s="600">
        <v>32</v>
      </c>
      <c r="O15" s="582">
        <v>31</v>
      </c>
      <c r="P15" s="582">
        <v>278</v>
      </c>
      <c r="Q15" s="582">
        <v>21</v>
      </c>
      <c r="R15" s="583">
        <v>3</v>
      </c>
      <c r="S15" s="579"/>
      <c r="T15" s="579"/>
      <c r="U15" s="579"/>
      <c r="V15" s="579"/>
    </row>
    <row r="16" spans="1:22" customFormat="1" ht="15" x14ac:dyDescent="0.25">
      <c r="A16" s="594" t="s">
        <v>490</v>
      </c>
      <c r="B16" s="582">
        <v>24</v>
      </c>
      <c r="C16" s="582">
        <v>28</v>
      </c>
      <c r="D16" s="582">
        <v>23</v>
      </c>
      <c r="E16" s="582">
        <v>29</v>
      </c>
      <c r="F16" s="592">
        <v>104</v>
      </c>
      <c r="G16" s="582">
        <v>21</v>
      </c>
      <c r="H16" s="582">
        <v>23</v>
      </c>
      <c r="I16" s="582">
        <v>26</v>
      </c>
      <c r="J16" s="582">
        <v>26</v>
      </c>
      <c r="K16" s="582">
        <v>33</v>
      </c>
      <c r="L16" s="592">
        <v>129</v>
      </c>
      <c r="M16" s="593">
        <v>233</v>
      </c>
      <c r="N16" s="600">
        <v>3</v>
      </c>
      <c r="O16" s="582">
        <v>11</v>
      </c>
      <c r="P16" s="582">
        <v>95</v>
      </c>
      <c r="Q16" s="582">
        <v>18</v>
      </c>
      <c r="R16" s="583">
        <v>3</v>
      </c>
      <c r="S16" s="579"/>
      <c r="T16" s="585"/>
      <c r="U16" s="579"/>
      <c r="V16" s="579"/>
    </row>
    <row r="17" spans="1:22" customFormat="1" ht="24.75" customHeight="1" x14ac:dyDescent="0.25">
      <c r="A17" s="595" t="s">
        <v>491</v>
      </c>
      <c r="B17" s="593">
        <v>502</v>
      </c>
      <c r="C17" s="593">
        <v>525</v>
      </c>
      <c r="D17" s="593">
        <v>525</v>
      </c>
      <c r="E17" s="593">
        <v>513</v>
      </c>
      <c r="F17" s="593">
        <v>2065</v>
      </c>
      <c r="G17" s="593">
        <v>542</v>
      </c>
      <c r="H17" s="593">
        <v>457</v>
      </c>
      <c r="I17" s="593">
        <v>437</v>
      </c>
      <c r="J17" s="593">
        <v>448</v>
      </c>
      <c r="K17" s="593">
        <v>424</v>
      </c>
      <c r="L17" s="593">
        <v>2307</v>
      </c>
      <c r="M17" s="593">
        <v>4372</v>
      </c>
      <c r="N17" s="601"/>
      <c r="O17" s="593">
        <v>201</v>
      </c>
      <c r="P17" s="593">
        <v>1768</v>
      </c>
      <c r="Q17" s="593">
        <v>172</v>
      </c>
      <c r="R17" s="603">
        <v>13</v>
      </c>
      <c r="S17" s="570"/>
      <c r="T17" s="570"/>
      <c r="U17" s="570"/>
      <c r="V17" s="570"/>
    </row>
    <row r="18" spans="1:22" customFormat="1" ht="15" x14ac:dyDescent="0.25">
      <c r="A18" s="594" t="s">
        <v>492</v>
      </c>
      <c r="B18" s="582">
        <v>24</v>
      </c>
      <c r="C18" s="582">
        <v>25</v>
      </c>
      <c r="D18" s="582">
        <v>24</v>
      </c>
      <c r="E18" s="582">
        <v>24</v>
      </c>
      <c r="F18" s="593"/>
      <c r="G18" s="582">
        <v>23</v>
      </c>
      <c r="H18" s="582">
        <v>20</v>
      </c>
      <c r="I18" s="582">
        <v>19</v>
      </c>
      <c r="J18" s="582">
        <v>20</v>
      </c>
      <c r="K18" s="582">
        <v>22</v>
      </c>
      <c r="L18" s="593"/>
      <c r="M18" s="593"/>
      <c r="N18" s="591"/>
      <c r="O18" s="586"/>
      <c r="P18" s="582"/>
      <c r="Q18" s="582"/>
      <c r="R18" s="587"/>
      <c r="S18" s="570"/>
      <c r="T18" s="570"/>
      <c r="U18" s="570"/>
      <c r="V18" s="570"/>
    </row>
    <row r="19" spans="1:22" customFormat="1" ht="26.25" thickBot="1" x14ac:dyDescent="0.3">
      <c r="A19" s="596" t="s">
        <v>493</v>
      </c>
      <c r="B19" s="588">
        <v>21</v>
      </c>
      <c r="C19" s="588">
        <v>21</v>
      </c>
      <c r="D19" s="588">
        <v>22</v>
      </c>
      <c r="E19" s="588">
        <v>21</v>
      </c>
      <c r="F19" s="602"/>
      <c r="G19" s="588">
        <v>24</v>
      </c>
      <c r="H19" s="588">
        <v>23</v>
      </c>
      <c r="I19" s="588">
        <v>23</v>
      </c>
      <c r="J19" s="588">
        <v>22</v>
      </c>
      <c r="K19" s="588">
        <v>19</v>
      </c>
      <c r="L19" s="602"/>
      <c r="M19" s="602"/>
      <c r="N19" s="589"/>
      <c r="O19" s="588"/>
      <c r="P19" s="588"/>
      <c r="Q19" s="588"/>
      <c r="R19" s="590"/>
      <c r="S19" s="570"/>
      <c r="T19" s="570"/>
      <c r="U19" s="570"/>
      <c r="V19" s="570"/>
    </row>
    <row r="20" spans="1:22" customFormat="1" ht="20.100000000000001" customHeight="1" x14ac:dyDescent="0.25">
      <c r="A20" s="579"/>
      <c r="B20" s="579"/>
      <c r="C20" s="579"/>
      <c r="D20" s="579"/>
      <c r="E20" s="579"/>
      <c r="F20" s="579"/>
      <c r="G20" s="579"/>
      <c r="H20" s="579"/>
      <c r="I20" s="579"/>
      <c r="J20" s="579"/>
      <c r="K20" s="579"/>
      <c r="L20" s="579"/>
      <c r="M20" s="579"/>
      <c r="N20" s="579"/>
      <c r="O20" s="579"/>
      <c r="P20" s="579"/>
      <c r="Q20" s="579"/>
      <c r="R20" s="579"/>
      <c r="S20" s="570"/>
      <c r="T20" s="570"/>
      <c r="U20" s="570"/>
      <c r="V20" s="570"/>
    </row>
    <row r="21" spans="1:22" customFormat="1" ht="15" customHeight="1" x14ac:dyDescent="0.25">
      <c r="A21" s="883" t="s">
        <v>870</v>
      </c>
      <c r="B21" s="883"/>
      <c r="C21" s="883"/>
      <c r="D21" s="883"/>
      <c r="E21" s="883"/>
      <c r="F21" s="883"/>
      <c r="G21" s="883"/>
      <c r="H21" s="883"/>
      <c r="I21" s="883"/>
      <c r="J21" s="883"/>
      <c r="K21" s="883"/>
      <c r="L21" s="883"/>
      <c r="M21" s="883"/>
      <c r="N21" s="883"/>
      <c r="O21" s="883"/>
      <c r="P21" s="883"/>
      <c r="Q21" s="883"/>
      <c r="R21" s="883"/>
      <c r="S21" s="570"/>
      <c r="T21" s="570"/>
      <c r="U21" s="570"/>
      <c r="V21" s="570"/>
    </row>
    <row r="22" spans="1:22" customFormat="1" ht="15" x14ac:dyDescent="0.25">
      <c r="A22" s="887" t="s">
        <v>871</v>
      </c>
      <c r="B22" s="887"/>
      <c r="C22" s="887"/>
      <c r="D22" s="887"/>
      <c r="E22" s="887"/>
      <c r="F22" s="887"/>
      <c r="G22" s="884"/>
      <c r="H22" s="884"/>
      <c r="I22" s="884"/>
      <c r="J22" s="884"/>
      <c r="K22" s="884"/>
      <c r="L22" s="884"/>
      <c r="M22" s="884"/>
      <c r="N22" s="884"/>
      <c r="O22" s="884"/>
      <c r="P22" s="884"/>
      <c r="Q22" s="884"/>
      <c r="R22" s="604"/>
      <c r="S22" s="570"/>
      <c r="T22" s="570"/>
      <c r="U22" s="570"/>
      <c r="V22" s="570"/>
    </row>
    <row r="23" spans="1:22" customFormat="1" ht="15" x14ac:dyDescent="0.25">
      <c r="A23" s="887" t="s">
        <v>872</v>
      </c>
      <c r="B23" s="887"/>
      <c r="C23" s="887"/>
      <c r="D23" s="887"/>
      <c r="E23" s="887"/>
      <c r="F23" s="887"/>
      <c r="G23" s="887"/>
      <c r="H23" s="604"/>
      <c r="I23" s="604"/>
      <c r="J23" s="604"/>
      <c r="K23" s="604"/>
      <c r="L23" s="884"/>
      <c r="M23" s="884"/>
      <c r="N23" s="884"/>
      <c r="O23" s="884"/>
      <c r="P23" s="884"/>
      <c r="Q23" s="884"/>
      <c r="R23" s="604"/>
      <c r="S23" s="570"/>
      <c r="T23" s="570"/>
      <c r="U23" s="570"/>
      <c r="V23" s="570"/>
    </row>
    <row r="24" spans="1:22" customFormat="1" ht="15" x14ac:dyDescent="0.25">
      <c r="A24" s="888" t="s">
        <v>873</v>
      </c>
      <c r="B24" s="888"/>
      <c r="C24" s="888"/>
      <c r="D24" s="888"/>
      <c r="E24" s="888"/>
      <c r="F24" s="604"/>
      <c r="G24" s="604"/>
      <c r="H24" s="604"/>
      <c r="I24" s="604"/>
      <c r="J24" s="604"/>
      <c r="K24" s="604"/>
      <c r="L24" s="604"/>
      <c r="M24" s="604"/>
      <c r="N24" s="604"/>
      <c r="O24" s="604"/>
      <c r="P24" s="604"/>
      <c r="Q24" s="604"/>
      <c r="R24" s="604"/>
      <c r="S24" s="570"/>
      <c r="T24" s="570"/>
      <c r="U24" s="570"/>
      <c r="V24" s="570"/>
    </row>
    <row r="25" spans="1:22" customFormat="1" ht="15" x14ac:dyDescent="0.25">
      <c r="A25" s="884" t="s">
        <v>874</v>
      </c>
      <c r="B25" s="884"/>
      <c r="C25" s="884"/>
      <c r="D25" s="884"/>
      <c r="E25" s="884"/>
      <c r="F25" s="884"/>
      <c r="G25" s="884"/>
      <c r="H25" s="884"/>
      <c r="I25" s="884"/>
      <c r="J25" s="884"/>
      <c r="K25" s="884"/>
      <c r="L25" s="884"/>
      <c r="M25" s="884"/>
      <c r="N25" s="884"/>
      <c r="O25" s="884"/>
      <c r="P25" s="884"/>
      <c r="Q25" s="884"/>
      <c r="R25" s="884"/>
      <c r="S25" s="570"/>
      <c r="T25" s="570"/>
      <c r="U25" s="570"/>
      <c r="V25" s="570"/>
    </row>
    <row r="26" spans="1:22" customFormat="1" ht="15" x14ac:dyDescent="0.25">
      <c r="A26" s="885" t="s">
        <v>875</v>
      </c>
      <c r="B26" s="886"/>
      <c r="C26" s="886"/>
      <c r="D26" s="886"/>
      <c r="E26" s="605"/>
      <c r="F26" s="605"/>
      <c r="G26" s="605"/>
      <c r="H26" s="605"/>
      <c r="I26" s="605"/>
      <c r="J26" s="605"/>
      <c r="K26" s="605"/>
      <c r="L26" s="605"/>
      <c r="M26" s="605"/>
      <c r="N26" s="605"/>
      <c r="O26" s="605"/>
      <c r="P26" s="605"/>
      <c r="Q26" s="605"/>
      <c r="R26" s="605"/>
      <c r="S26" s="570"/>
      <c r="T26" s="570"/>
      <c r="U26" s="570"/>
      <c r="V26" s="570"/>
    </row>
    <row r="27" spans="1:22" customFormat="1" ht="28.5" customHeight="1" x14ac:dyDescent="0.25">
      <c r="A27" s="883"/>
      <c r="B27" s="883"/>
      <c r="C27" s="883"/>
      <c r="D27" s="883"/>
      <c r="E27" s="883"/>
      <c r="F27" s="883"/>
      <c r="G27" s="883"/>
      <c r="H27" s="883"/>
      <c r="I27" s="883"/>
      <c r="J27" s="883"/>
      <c r="K27" s="883"/>
      <c r="L27" s="883"/>
      <c r="M27" s="883"/>
      <c r="N27" s="883"/>
      <c r="O27" s="883"/>
      <c r="P27" s="883"/>
      <c r="Q27" s="883"/>
      <c r="R27" s="883"/>
      <c r="S27" s="570"/>
      <c r="T27" s="570"/>
      <c r="U27" s="570"/>
      <c r="V27" s="570"/>
    </row>
  </sheetData>
  <mergeCells count="13">
    <mergeCell ref="A25:R25"/>
    <mergeCell ref="A27:R27"/>
    <mergeCell ref="A26:D26"/>
    <mergeCell ref="A22:F22"/>
    <mergeCell ref="G22:Q22"/>
    <mergeCell ref="A23:G23"/>
    <mergeCell ref="L23:Q23"/>
    <mergeCell ref="A24:E24"/>
    <mergeCell ref="A3:R3"/>
    <mergeCell ref="A4:Q4"/>
    <mergeCell ref="A5:R5"/>
    <mergeCell ref="A6:R6"/>
    <mergeCell ref="A21:R21"/>
  </mergeCells>
  <pageMargins left="0.511811023622047" right="0.511811023622047" top="0.74803149606299213" bottom="0.74803149606299213" header="0.31496062992126012" footer="0.31496062992126012"/>
  <pageSetup paperSize="9" fitToWidth="0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B2:M21"/>
  <sheetViews>
    <sheetView workbookViewId="0">
      <selection activeCell="A36" sqref="A36"/>
    </sheetView>
  </sheetViews>
  <sheetFormatPr defaultRowHeight="14.25" x14ac:dyDescent="0.2"/>
  <cols>
    <col min="1" max="1" width="9.140625" style="1" customWidth="1"/>
    <col min="2" max="2" width="3.42578125" style="43" customWidth="1"/>
    <col min="3" max="3" width="56.7109375" style="1" customWidth="1"/>
    <col min="4" max="4" width="15.85546875" style="250" customWidth="1"/>
    <col min="5" max="5" width="9.140625" style="1" customWidth="1"/>
    <col min="6" max="6" width="13" style="1" customWidth="1"/>
    <col min="7" max="7" width="11.7109375" style="1" customWidth="1"/>
    <col min="8" max="8" width="11.85546875" style="1" customWidth="1"/>
    <col min="9" max="9" width="12.42578125" style="1" customWidth="1"/>
    <col min="10" max="10" width="9.140625" style="1" customWidth="1"/>
    <col min="11" max="16384" width="9.140625" style="1"/>
  </cols>
  <sheetData>
    <row r="2" spans="2:13" x14ac:dyDescent="0.2">
      <c r="D2" s="250" t="s">
        <v>494</v>
      </c>
    </row>
    <row r="3" spans="2:13" ht="15" thickBot="1" x14ac:dyDescent="0.25"/>
    <row r="4" spans="2:13" ht="15" x14ac:dyDescent="0.25">
      <c r="B4" s="889" t="s">
        <v>495</v>
      </c>
      <c r="C4" s="889"/>
      <c r="D4" s="889"/>
    </row>
    <row r="5" spans="2:13" ht="15" x14ac:dyDescent="0.25">
      <c r="B5" s="394"/>
      <c r="C5" s="395"/>
      <c r="D5" s="396" t="s">
        <v>496</v>
      </c>
      <c r="M5" s="314"/>
    </row>
    <row r="6" spans="2:13" x14ac:dyDescent="0.2">
      <c r="B6" s="213">
        <v>1</v>
      </c>
      <c r="C6" s="397" t="s">
        <v>497</v>
      </c>
      <c r="D6" s="398">
        <v>38353</v>
      </c>
    </row>
    <row r="7" spans="2:13" x14ac:dyDescent="0.2">
      <c r="B7" s="213">
        <v>2</v>
      </c>
      <c r="C7" s="397" t="s">
        <v>498</v>
      </c>
      <c r="D7" s="398">
        <v>37257</v>
      </c>
      <c r="F7" s="399"/>
    </row>
    <row r="8" spans="2:13" x14ac:dyDescent="0.2">
      <c r="B8" s="213">
        <v>3</v>
      </c>
      <c r="C8" s="397" t="s">
        <v>499</v>
      </c>
      <c r="D8" s="398">
        <v>37438</v>
      </c>
    </row>
    <row r="9" spans="2:13" x14ac:dyDescent="0.2">
      <c r="B9" s="213">
        <v>4</v>
      </c>
      <c r="C9" s="397" t="s">
        <v>500</v>
      </c>
      <c r="D9" s="398">
        <v>37438</v>
      </c>
    </row>
    <row r="10" spans="2:13" x14ac:dyDescent="0.2">
      <c r="B10" s="213">
        <v>5</v>
      </c>
      <c r="C10" s="397" t="s">
        <v>501</v>
      </c>
      <c r="D10" s="398">
        <v>37438</v>
      </c>
      <c r="F10" s="399"/>
    </row>
    <row r="11" spans="2:13" x14ac:dyDescent="0.2">
      <c r="B11" s="213">
        <v>6</v>
      </c>
      <c r="C11" s="397" t="s">
        <v>502</v>
      </c>
      <c r="D11" s="398">
        <v>37438</v>
      </c>
      <c r="F11" s="399"/>
    </row>
    <row r="12" spans="2:13" x14ac:dyDescent="0.2">
      <c r="B12" s="213">
        <v>7</v>
      </c>
      <c r="C12" s="397" t="s">
        <v>503</v>
      </c>
      <c r="D12" s="398">
        <v>37438</v>
      </c>
      <c r="H12" s="399"/>
    </row>
    <row r="13" spans="2:13" x14ac:dyDescent="0.2">
      <c r="B13" s="213">
        <v>8</v>
      </c>
      <c r="C13" s="397" t="s">
        <v>504</v>
      </c>
      <c r="D13" s="398">
        <v>37438</v>
      </c>
      <c r="H13" s="399"/>
    </row>
    <row r="14" spans="2:13" x14ac:dyDescent="0.2">
      <c r="B14" s="213">
        <v>9</v>
      </c>
      <c r="C14" s="397" t="s">
        <v>505</v>
      </c>
      <c r="D14" s="398">
        <v>37438</v>
      </c>
      <c r="H14" s="399"/>
    </row>
    <row r="15" spans="2:13" x14ac:dyDescent="0.2">
      <c r="B15" s="213">
        <v>10</v>
      </c>
      <c r="C15" s="397" t="s">
        <v>506</v>
      </c>
      <c r="D15" s="398">
        <v>37438</v>
      </c>
      <c r="F15" s="399"/>
    </row>
    <row r="16" spans="2:13" x14ac:dyDescent="0.2">
      <c r="B16" s="213">
        <v>11</v>
      </c>
      <c r="C16" s="397" t="s">
        <v>507</v>
      </c>
      <c r="D16" s="398">
        <v>37438</v>
      </c>
      <c r="H16" s="399"/>
    </row>
    <row r="17" spans="2:9" x14ac:dyDescent="0.2">
      <c r="B17" s="213">
        <v>12</v>
      </c>
      <c r="C17" s="397" t="s">
        <v>508</v>
      </c>
      <c r="D17" s="398">
        <v>37438</v>
      </c>
      <c r="G17" s="399"/>
    </row>
    <row r="18" spans="2:9" x14ac:dyDescent="0.2">
      <c r="B18" s="213">
        <v>13</v>
      </c>
      <c r="C18" s="397" t="s">
        <v>509</v>
      </c>
      <c r="D18" s="398">
        <v>37438</v>
      </c>
      <c r="I18" s="399"/>
    </row>
    <row r="19" spans="2:9" x14ac:dyDescent="0.2">
      <c r="B19" s="213">
        <v>14</v>
      </c>
      <c r="C19" s="397" t="s">
        <v>510</v>
      </c>
      <c r="D19" s="398">
        <v>41640</v>
      </c>
      <c r="H19" s="399"/>
    </row>
    <row r="20" spans="2:9" x14ac:dyDescent="0.2">
      <c r="B20" s="394"/>
      <c r="C20" s="400"/>
      <c r="D20" s="396"/>
      <c r="H20" s="399"/>
    </row>
    <row r="21" spans="2:9" ht="15" thickBot="1" x14ac:dyDescent="0.25">
      <c r="B21" s="401"/>
      <c r="C21" s="402" t="s">
        <v>867</v>
      </c>
      <c r="D21" s="403"/>
      <c r="H21" s="399"/>
    </row>
  </sheetData>
  <mergeCells count="1">
    <mergeCell ref="B4:D4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E34"/>
  <sheetViews>
    <sheetView workbookViewId="0"/>
  </sheetViews>
  <sheetFormatPr defaultRowHeight="15" x14ac:dyDescent="0.25"/>
  <cols>
    <col min="1" max="1" width="9.140625" customWidth="1"/>
    <col min="2" max="2" width="6.7109375" bestFit="1" customWidth="1"/>
    <col min="3" max="3" width="61.28515625" bestFit="1" customWidth="1"/>
    <col min="4" max="4" width="13.42578125" customWidth="1"/>
    <col min="5" max="5" width="2.42578125" style="151" customWidth="1"/>
    <col min="6" max="6" width="9.140625" customWidth="1"/>
  </cols>
  <sheetData>
    <row r="2" spans="2:5" x14ac:dyDescent="0.25">
      <c r="D2" t="s">
        <v>511</v>
      </c>
    </row>
    <row r="3" spans="2:5" ht="37.5" customHeight="1" x14ac:dyDescent="0.25">
      <c r="B3" s="890" t="s">
        <v>1018</v>
      </c>
      <c r="C3" s="890"/>
      <c r="D3" s="890"/>
    </row>
    <row r="4" spans="2:5" x14ac:dyDescent="0.25">
      <c r="B4" s="404"/>
      <c r="D4" s="405"/>
      <c r="E4" s="406"/>
    </row>
    <row r="5" spans="2:5" ht="25.5" x14ac:dyDescent="0.25">
      <c r="B5" s="407" t="s">
        <v>512</v>
      </c>
      <c r="C5" s="408" t="s">
        <v>513</v>
      </c>
      <c r="D5" s="408" t="s">
        <v>514</v>
      </c>
      <c r="E5" s="409"/>
    </row>
    <row r="6" spans="2:5" x14ac:dyDescent="0.25">
      <c r="B6" s="410">
        <v>1</v>
      </c>
      <c r="C6" s="411" t="s">
        <v>515</v>
      </c>
      <c r="D6" s="412">
        <f>D7+D8+D9+D10</f>
        <v>60542579</v>
      </c>
      <c r="E6" s="413"/>
    </row>
    <row r="7" spans="2:5" x14ac:dyDescent="0.25">
      <c r="B7" s="414">
        <v>2</v>
      </c>
      <c r="C7" s="331" t="s">
        <v>516</v>
      </c>
      <c r="D7" s="335">
        <v>32007285</v>
      </c>
      <c r="E7" s="415"/>
    </row>
    <row r="8" spans="2:5" x14ac:dyDescent="0.25">
      <c r="B8" s="414">
        <v>3</v>
      </c>
      <c r="C8" s="331" t="s">
        <v>517</v>
      </c>
      <c r="D8" s="335">
        <v>6094762</v>
      </c>
      <c r="E8" s="415"/>
    </row>
    <row r="9" spans="2:5" x14ac:dyDescent="0.25">
      <c r="B9" s="414">
        <v>4</v>
      </c>
      <c r="C9" s="331" t="s">
        <v>518</v>
      </c>
      <c r="D9" s="335">
        <v>13770884</v>
      </c>
      <c r="E9" s="415"/>
    </row>
    <row r="10" spans="2:5" x14ac:dyDescent="0.25">
      <c r="B10" s="414">
        <v>5</v>
      </c>
      <c r="C10" s="331" t="s">
        <v>519</v>
      </c>
      <c r="D10" s="335">
        <f>D11+D12</f>
        <v>8669648</v>
      </c>
      <c r="E10" s="415"/>
    </row>
    <row r="11" spans="2:5" x14ac:dyDescent="0.25">
      <c r="B11" s="414">
        <v>6</v>
      </c>
      <c r="C11" s="331" t="s">
        <v>520</v>
      </c>
      <c r="D11" s="335">
        <v>6619648</v>
      </c>
      <c r="E11" s="415"/>
    </row>
    <row r="12" spans="2:5" x14ac:dyDescent="0.25">
      <c r="B12" s="414">
        <v>7</v>
      </c>
      <c r="C12" s="331" t="s">
        <v>521</v>
      </c>
      <c r="D12" s="335">
        <v>2050000</v>
      </c>
      <c r="E12" s="415"/>
    </row>
    <row r="13" spans="2:5" x14ac:dyDescent="0.25">
      <c r="B13" s="410">
        <v>8</v>
      </c>
      <c r="C13" s="411" t="s">
        <v>522</v>
      </c>
      <c r="D13" s="412">
        <f>D14+D15+D16</f>
        <v>53532745.460000001</v>
      </c>
      <c r="E13" s="413"/>
    </row>
    <row r="14" spans="2:5" x14ac:dyDescent="0.25">
      <c r="B14" s="414">
        <v>9</v>
      </c>
      <c r="C14" s="331" t="s">
        <v>523</v>
      </c>
      <c r="D14" s="335">
        <v>42609588.460000001</v>
      </c>
      <c r="E14" s="415"/>
    </row>
    <row r="15" spans="2:5" x14ac:dyDescent="0.25">
      <c r="B15" s="414">
        <v>10</v>
      </c>
      <c r="C15" s="331" t="s">
        <v>524</v>
      </c>
      <c r="D15" s="335">
        <v>9003435</v>
      </c>
      <c r="E15" s="415"/>
    </row>
    <row r="16" spans="2:5" x14ac:dyDescent="0.25">
      <c r="B16" s="414">
        <v>11</v>
      </c>
      <c r="C16" s="331" t="s">
        <v>525</v>
      </c>
      <c r="D16" s="335">
        <v>1919722</v>
      </c>
      <c r="E16" s="415"/>
    </row>
    <row r="17" spans="2:5" x14ac:dyDescent="0.25">
      <c r="B17" s="416">
        <v>12</v>
      </c>
      <c r="C17" s="417" t="s">
        <v>526</v>
      </c>
      <c r="D17" s="418">
        <f>D6-D13</f>
        <v>7009833.5399999991</v>
      </c>
      <c r="E17" s="419"/>
    </row>
    <row r="18" spans="2:5" ht="25.5" x14ac:dyDescent="0.25">
      <c r="B18" s="416">
        <v>13</v>
      </c>
      <c r="C18" s="420" t="s">
        <v>527</v>
      </c>
      <c r="D18" s="418">
        <f>D6-D10-D13+D16</f>
        <v>259907.53999999911</v>
      </c>
      <c r="E18" s="419"/>
    </row>
    <row r="19" spans="2:5" x14ac:dyDescent="0.25">
      <c r="B19" s="414"/>
      <c r="C19" s="421"/>
      <c r="D19" s="422"/>
      <c r="E19" s="423"/>
    </row>
    <row r="20" spans="2:5" x14ac:dyDescent="0.25">
      <c r="B20" s="410">
        <v>14</v>
      </c>
      <c r="C20" s="424" t="s">
        <v>528</v>
      </c>
      <c r="D20" s="425">
        <f>-D21+D22</f>
        <v>68602</v>
      </c>
      <c r="E20" s="426"/>
    </row>
    <row r="21" spans="2:5" x14ac:dyDescent="0.25">
      <c r="B21" s="414">
        <v>15</v>
      </c>
      <c r="C21" s="331" t="s">
        <v>529</v>
      </c>
      <c r="D21" s="335">
        <v>782187</v>
      </c>
      <c r="E21" s="415"/>
    </row>
    <row r="22" spans="2:5" x14ac:dyDescent="0.25">
      <c r="B22" s="414">
        <v>16</v>
      </c>
      <c r="C22" s="331" t="s">
        <v>530</v>
      </c>
      <c r="D22" s="335">
        <v>850789</v>
      </c>
      <c r="E22" s="415"/>
    </row>
    <row r="23" spans="2:5" x14ac:dyDescent="0.25">
      <c r="B23" s="410">
        <v>17</v>
      </c>
      <c r="C23" s="424" t="s">
        <v>531</v>
      </c>
      <c r="D23" s="425">
        <f>-D25+D24</f>
        <v>-499762</v>
      </c>
      <c r="E23" s="426"/>
    </row>
    <row r="24" spans="2:5" x14ac:dyDescent="0.25">
      <c r="B24" s="414">
        <v>18</v>
      </c>
      <c r="C24" s="331" t="s">
        <v>532</v>
      </c>
      <c r="D24" s="335">
        <v>835058</v>
      </c>
      <c r="E24" s="415"/>
    </row>
    <row r="25" spans="2:5" x14ac:dyDescent="0.25">
      <c r="B25" s="414">
        <v>19</v>
      </c>
      <c r="C25" s="331" t="s">
        <v>533</v>
      </c>
      <c r="D25" s="335">
        <v>1334820</v>
      </c>
      <c r="E25" s="415"/>
    </row>
    <row r="26" spans="2:5" x14ac:dyDescent="0.25">
      <c r="B26" s="410">
        <v>20</v>
      </c>
      <c r="C26" s="411" t="s">
        <v>534</v>
      </c>
      <c r="D26" s="412">
        <f>D20+D23</f>
        <v>-431160</v>
      </c>
      <c r="E26" s="413"/>
    </row>
    <row r="27" spans="2:5" x14ac:dyDescent="0.25">
      <c r="B27" s="427">
        <v>21</v>
      </c>
      <c r="C27" s="427" t="s">
        <v>535</v>
      </c>
      <c r="D27" s="428">
        <f>D18+D26</f>
        <v>-171252.46000000089</v>
      </c>
      <c r="E27" s="429"/>
    </row>
    <row r="28" spans="2:5" x14ac:dyDescent="0.25">
      <c r="B28" s="430" t="s">
        <v>206</v>
      </c>
    </row>
    <row r="29" spans="2:5" ht="57.75" customHeight="1" x14ac:dyDescent="0.25">
      <c r="B29" s="891" t="s">
        <v>536</v>
      </c>
      <c r="C29" s="891"/>
      <c r="D29" s="891"/>
    </row>
    <row r="30" spans="2:5" ht="107.25" customHeight="1" x14ac:dyDescent="0.25">
      <c r="B30" s="891" t="s">
        <v>537</v>
      </c>
      <c r="C30" s="891"/>
      <c r="D30" s="891"/>
    </row>
    <row r="31" spans="2:5" ht="29.25" customHeight="1" x14ac:dyDescent="0.25">
      <c r="B31" s="891" t="s">
        <v>538</v>
      </c>
      <c r="C31" s="891"/>
      <c r="D31" s="891"/>
    </row>
    <row r="32" spans="2:5" x14ac:dyDescent="0.25">
      <c r="B32" s="404"/>
    </row>
    <row r="33" spans="2:3" x14ac:dyDescent="0.25">
      <c r="B33" s="404"/>
      <c r="C33" s="430"/>
    </row>
    <row r="34" spans="2:3" x14ac:dyDescent="0.25">
      <c r="B34" s="404"/>
    </row>
  </sheetData>
  <mergeCells count="4">
    <mergeCell ref="B3:D3"/>
    <mergeCell ref="B29:D29"/>
    <mergeCell ref="B30:D30"/>
    <mergeCell ref="B31:D31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2:L63"/>
  <sheetViews>
    <sheetView workbookViewId="0"/>
  </sheetViews>
  <sheetFormatPr defaultRowHeight="14.25" x14ac:dyDescent="0.2"/>
  <cols>
    <col min="1" max="1" width="2" style="1" customWidth="1"/>
    <col min="2" max="2" width="22.7109375" style="1" customWidth="1"/>
    <col min="3" max="3" width="12.42578125" style="1" customWidth="1"/>
    <col min="4" max="4" width="11.28515625" style="1" customWidth="1"/>
    <col min="5" max="5" width="12.42578125" style="1" customWidth="1"/>
    <col min="6" max="6" width="13.28515625" style="1" customWidth="1"/>
    <col min="7" max="7" width="13.140625" style="1" customWidth="1"/>
    <col min="8" max="8" width="13" style="1" customWidth="1"/>
    <col min="9" max="9" width="11.5703125" style="1" customWidth="1"/>
    <col min="10" max="10" width="13.42578125" style="1" customWidth="1"/>
    <col min="11" max="11" width="10.28515625" style="1" customWidth="1"/>
    <col min="12" max="12" width="9.140625" style="1" customWidth="1"/>
    <col min="13" max="16384" width="9.140625" style="1"/>
  </cols>
  <sheetData>
    <row r="2" spans="2:11" x14ac:dyDescent="0.2">
      <c r="G2" s="27" t="s">
        <v>85</v>
      </c>
    </row>
    <row r="3" spans="2:11" ht="23.25" customHeight="1" x14ac:dyDescent="0.2">
      <c r="B3" s="775" t="s">
        <v>86</v>
      </c>
      <c r="C3" s="775"/>
      <c r="D3" s="775"/>
      <c r="E3" s="775"/>
      <c r="F3" s="775"/>
      <c r="G3" s="775"/>
      <c r="H3" s="92"/>
      <c r="I3" s="92"/>
      <c r="J3" s="92"/>
      <c r="K3" s="92"/>
    </row>
    <row r="4" spans="2:11" ht="8.25" customHeight="1" thickBot="1" x14ac:dyDescent="0.25"/>
    <row r="5" spans="2:11" s="93" customFormat="1" ht="18.75" customHeight="1" thickBot="1" x14ac:dyDescent="0.25">
      <c r="B5" s="776" t="s">
        <v>87</v>
      </c>
      <c r="C5" s="776"/>
      <c r="D5" s="776"/>
      <c r="E5" s="94">
        <f>E6+E11+E15+E17+E22+E26+E19</f>
        <v>889367.63</v>
      </c>
    </row>
    <row r="6" spans="2:11" ht="15.75" thickTop="1" x14ac:dyDescent="0.25">
      <c r="B6" s="777" t="s">
        <v>88</v>
      </c>
      <c r="C6" s="777"/>
      <c r="D6" s="777"/>
      <c r="E6" s="95">
        <f>SUM(E7:E10)</f>
        <v>99714.00999999998</v>
      </c>
    </row>
    <row r="7" spans="2:11" x14ac:dyDescent="0.2">
      <c r="B7" s="774" t="s">
        <v>89</v>
      </c>
      <c r="C7" s="774"/>
      <c r="D7" s="774"/>
      <c r="E7" s="96">
        <v>81754.899999999994</v>
      </c>
    </row>
    <row r="8" spans="2:11" x14ac:dyDescent="0.2">
      <c r="B8" s="774" t="s">
        <v>90</v>
      </c>
      <c r="C8" s="774"/>
      <c r="D8" s="774"/>
      <c r="E8" s="96">
        <v>9844.9</v>
      </c>
    </row>
    <row r="9" spans="2:11" x14ac:dyDescent="0.2">
      <c r="B9" s="774" t="s">
        <v>91</v>
      </c>
      <c r="C9" s="774"/>
      <c r="D9" s="774"/>
      <c r="E9" s="96">
        <v>6989.81</v>
      </c>
    </row>
    <row r="10" spans="2:11" x14ac:dyDescent="0.2">
      <c r="B10" s="774" t="s">
        <v>92</v>
      </c>
      <c r="C10" s="774"/>
      <c r="D10" s="774"/>
      <c r="E10" s="96">
        <v>1124.4000000000001</v>
      </c>
    </row>
    <row r="11" spans="2:11" ht="15" x14ac:dyDescent="0.25">
      <c r="B11" s="778" t="s">
        <v>93</v>
      </c>
      <c r="C11" s="778"/>
      <c r="D11" s="778"/>
      <c r="E11" s="97">
        <f>SUM(E12:E14)</f>
        <v>369943.45</v>
      </c>
    </row>
    <row r="12" spans="2:11" x14ac:dyDescent="0.2">
      <c r="B12" s="774" t="s">
        <v>94</v>
      </c>
      <c r="C12" s="774"/>
      <c r="D12" s="774"/>
      <c r="E12" s="96">
        <v>215615.47</v>
      </c>
    </row>
    <row r="13" spans="2:11" x14ac:dyDescent="0.2">
      <c r="B13" s="774" t="s">
        <v>95</v>
      </c>
      <c r="C13" s="774"/>
      <c r="D13" s="774"/>
      <c r="E13" s="96">
        <v>153903.98000000001</v>
      </c>
    </row>
    <row r="14" spans="2:11" x14ac:dyDescent="0.2">
      <c r="B14" s="774" t="s">
        <v>96</v>
      </c>
      <c r="C14" s="774"/>
      <c r="D14" s="774"/>
      <c r="E14" s="96">
        <v>424</v>
      </c>
    </row>
    <row r="15" spans="2:11" ht="15" x14ac:dyDescent="0.25">
      <c r="B15" s="778" t="s">
        <v>97</v>
      </c>
      <c r="C15" s="778"/>
      <c r="D15" s="778"/>
      <c r="E15" s="97">
        <f>E16</f>
        <v>156648.67000000001</v>
      </c>
    </row>
    <row r="16" spans="2:11" ht="24.75" customHeight="1" x14ac:dyDescent="0.2">
      <c r="B16" s="774" t="s">
        <v>98</v>
      </c>
      <c r="C16" s="774"/>
      <c r="D16" s="774"/>
      <c r="E16" s="98">
        <v>156648.67000000001</v>
      </c>
    </row>
    <row r="17" spans="2:12" ht="15" x14ac:dyDescent="0.25">
      <c r="B17" s="778" t="s">
        <v>99</v>
      </c>
      <c r="C17" s="778"/>
      <c r="D17" s="778"/>
      <c r="E17" s="97">
        <f>E18</f>
        <v>1651.9</v>
      </c>
    </row>
    <row r="18" spans="2:12" ht="12.75" customHeight="1" x14ac:dyDescent="0.2">
      <c r="B18" s="779" t="s">
        <v>100</v>
      </c>
      <c r="C18" s="779"/>
      <c r="D18" s="779"/>
      <c r="E18" s="96">
        <v>1651.9</v>
      </c>
    </row>
    <row r="19" spans="2:12" ht="15" x14ac:dyDescent="0.25">
      <c r="B19" s="778" t="s">
        <v>101</v>
      </c>
      <c r="C19" s="778"/>
      <c r="D19" s="778"/>
      <c r="E19" s="97">
        <f>E21+E20</f>
        <v>10514.7</v>
      </c>
    </row>
    <row r="20" spans="2:12" x14ac:dyDescent="0.2">
      <c r="B20" s="779" t="s">
        <v>102</v>
      </c>
      <c r="C20" s="779"/>
      <c r="D20" s="779"/>
      <c r="E20" s="96">
        <v>3600</v>
      </c>
    </row>
    <row r="21" spans="2:12" ht="12.75" customHeight="1" x14ac:dyDescent="0.2">
      <c r="B21" s="779" t="s">
        <v>103</v>
      </c>
      <c r="C21" s="779"/>
      <c r="D21" s="779"/>
      <c r="E21" s="96">
        <v>6914.7</v>
      </c>
    </row>
    <row r="22" spans="2:12" ht="15" x14ac:dyDescent="0.25">
      <c r="B22" s="778" t="s">
        <v>104</v>
      </c>
      <c r="C22" s="778"/>
      <c r="D22" s="778"/>
      <c r="E22" s="97">
        <f>SUM(E23:E25)</f>
        <v>193953.03</v>
      </c>
    </row>
    <row r="23" spans="2:12" x14ac:dyDescent="0.2">
      <c r="B23" s="774" t="s">
        <v>105</v>
      </c>
      <c r="C23" s="774"/>
      <c r="D23" s="774"/>
      <c r="E23" s="96">
        <v>127703.16</v>
      </c>
    </row>
    <row r="24" spans="2:12" x14ac:dyDescent="0.2">
      <c r="B24" s="774" t="s">
        <v>106</v>
      </c>
      <c r="C24" s="774"/>
      <c r="D24" s="774"/>
      <c r="E24" s="96">
        <v>66210.45</v>
      </c>
    </row>
    <row r="25" spans="2:12" x14ac:dyDescent="0.2">
      <c r="B25" s="774" t="s">
        <v>107</v>
      </c>
      <c r="C25" s="774"/>
      <c r="D25" s="774"/>
      <c r="E25" s="96">
        <v>39.42</v>
      </c>
    </row>
    <row r="26" spans="2:12" ht="15" x14ac:dyDescent="0.25">
      <c r="B26" s="778" t="s">
        <v>108</v>
      </c>
      <c r="C26" s="778"/>
      <c r="D26" s="778"/>
      <c r="E26" s="97">
        <f>SUM(E27:E36)</f>
        <v>56941.869999999995</v>
      </c>
    </row>
    <row r="27" spans="2:12" customFormat="1" ht="15" x14ac:dyDescent="0.25">
      <c r="B27" s="774" t="s">
        <v>109</v>
      </c>
      <c r="C27" s="774"/>
      <c r="D27" s="774"/>
      <c r="E27" s="96">
        <v>182.5</v>
      </c>
      <c r="F27" s="1"/>
      <c r="G27" s="1"/>
      <c r="H27" s="1"/>
      <c r="I27" s="1"/>
      <c r="J27" s="1"/>
      <c r="K27" s="1"/>
      <c r="L27" s="1"/>
    </row>
    <row r="28" spans="2:12" s="432" customFormat="1" ht="15" x14ac:dyDescent="0.25">
      <c r="B28" s="451" t="s">
        <v>544</v>
      </c>
      <c r="C28" s="452"/>
      <c r="D28" s="453"/>
      <c r="E28" s="96">
        <v>47.21</v>
      </c>
      <c r="F28" s="1"/>
      <c r="G28" s="1"/>
      <c r="H28" s="1"/>
      <c r="I28" s="1"/>
      <c r="J28" s="1"/>
      <c r="K28" s="1"/>
      <c r="L28" s="1"/>
    </row>
    <row r="29" spans="2:12" s="432" customFormat="1" ht="14.25" customHeight="1" x14ac:dyDescent="0.25">
      <c r="B29" s="783" t="s">
        <v>542</v>
      </c>
      <c r="C29" s="784"/>
      <c r="D29" s="785"/>
      <c r="E29" s="96">
        <v>852.29</v>
      </c>
      <c r="F29" s="1"/>
      <c r="G29" s="1"/>
      <c r="H29" s="1"/>
      <c r="I29" s="1"/>
      <c r="J29" s="1"/>
      <c r="K29" s="1"/>
      <c r="L29" s="1"/>
    </row>
    <row r="30" spans="2:12" customFormat="1" ht="15" x14ac:dyDescent="0.25">
      <c r="B30" s="774" t="s">
        <v>110</v>
      </c>
      <c r="C30" s="774"/>
      <c r="D30" s="774"/>
      <c r="E30" s="96">
        <v>543.67999999999995</v>
      </c>
      <c r="F30" s="1"/>
      <c r="G30" s="1"/>
      <c r="H30" s="1"/>
      <c r="I30" s="1"/>
      <c r="J30" s="1"/>
      <c r="K30" s="1"/>
      <c r="L30" s="1"/>
    </row>
    <row r="31" spans="2:12" customFormat="1" ht="15" x14ac:dyDescent="0.25">
      <c r="B31" s="782" t="s">
        <v>111</v>
      </c>
      <c r="C31" s="782"/>
      <c r="D31" s="782"/>
      <c r="E31" s="99">
        <v>7142.3</v>
      </c>
      <c r="F31" s="1"/>
      <c r="G31" s="1"/>
      <c r="H31" s="1"/>
      <c r="I31" s="1"/>
      <c r="J31" s="1"/>
      <c r="K31" s="1"/>
      <c r="L31" s="1"/>
    </row>
    <row r="32" spans="2:12" customFormat="1" ht="15" x14ac:dyDescent="0.25">
      <c r="B32" s="782" t="s">
        <v>112</v>
      </c>
      <c r="C32" s="782"/>
      <c r="D32" s="782"/>
      <c r="E32" s="96">
        <v>1728.55</v>
      </c>
      <c r="F32" s="1"/>
      <c r="G32" s="1"/>
      <c r="H32" s="1"/>
      <c r="I32" s="1"/>
      <c r="J32" s="1"/>
      <c r="K32" s="1"/>
    </row>
    <row r="33" spans="2:12" customFormat="1" ht="15" x14ac:dyDescent="0.25">
      <c r="B33" s="782" t="s">
        <v>113</v>
      </c>
      <c r="C33" s="782"/>
      <c r="D33" s="782"/>
      <c r="E33" s="100">
        <v>7792</v>
      </c>
      <c r="F33" s="1"/>
      <c r="G33" s="1"/>
      <c r="H33" s="1"/>
      <c r="I33" s="1"/>
      <c r="J33" s="1"/>
      <c r="K33" s="1"/>
    </row>
    <row r="34" spans="2:12" customFormat="1" ht="15" x14ac:dyDescent="0.25">
      <c r="B34" s="780" t="s">
        <v>541</v>
      </c>
      <c r="C34" s="780"/>
      <c r="D34" s="780"/>
      <c r="E34" s="101">
        <v>33083.339999999997</v>
      </c>
      <c r="F34" s="1"/>
      <c r="G34" s="1"/>
      <c r="H34" s="1"/>
      <c r="I34" s="1"/>
      <c r="J34" s="1"/>
      <c r="K34" s="1"/>
    </row>
    <row r="35" spans="2:12" customFormat="1" ht="15" x14ac:dyDescent="0.25">
      <c r="B35" s="780" t="s">
        <v>114</v>
      </c>
      <c r="C35" s="780"/>
      <c r="D35" s="780"/>
      <c r="E35" s="101">
        <v>4500</v>
      </c>
      <c r="F35" s="1"/>
      <c r="G35" s="1"/>
      <c r="H35" s="1"/>
      <c r="I35" s="1"/>
      <c r="J35" s="1"/>
      <c r="K35" s="1"/>
    </row>
    <row r="36" spans="2:12" customFormat="1" ht="15.75" thickBot="1" x14ac:dyDescent="0.3">
      <c r="B36" s="781" t="s">
        <v>543</v>
      </c>
      <c r="C36" s="781"/>
      <c r="D36" s="781"/>
      <c r="E36" s="102">
        <v>1070</v>
      </c>
      <c r="F36" s="1"/>
      <c r="G36" s="1"/>
      <c r="H36" s="1"/>
      <c r="I36" s="1"/>
      <c r="J36" s="1"/>
      <c r="K36" s="1"/>
    </row>
    <row r="37" spans="2:12" customFormat="1" ht="9.75" customHeight="1" thickBot="1" x14ac:dyDescent="0.3">
      <c r="B37" s="42"/>
      <c r="C37" s="42"/>
      <c r="D37" s="1"/>
      <c r="E37" s="1"/>
      <c r="F37" s="1"/>
      <c r="G37" s="1"/>
      <c r="H37" s="1"/>
      <c r="I37" s="1"/>
      <c r="J37" s="1"/>
      <c r="K37" s="1"/>
      <c r="L37" s="1"/>
    </row>
    <row r="38" spans="2:12" s="43" customFormat="1" ht="90" customHeight="1" thickBot="1" x14ac:dyDescent="0.3">
      <c r="B38" s="44" t="s">
        <v>56</v>
      </c>
      <c r="C38" s="45" t="s">
        <v>115</v>
      </c>
      <c r="D38" s="45" t="s">
        <v>116</v>
      </c>
      <c r="E38" s="45" t="s">
        <v>117</v>
      </c>
      <c r="F38" s="45" t="s">
        <v>118</v>
      </c>
    </row>
    <row r="39" spans="2:12" customFormat="1" ht="15.75" thickTop="1" x14ac:dyDescent="0.25">
      <c r="B39" s="48" t="s">
        <v>62</v>
      </c>
      <c r="C39" s="49">
        <v>111997.67</v>
      </c>
      <c r="D39" s="49">
        <v>28334.240000000002</v>
      </c>
      <c r="E39" s="49">
        <v>41329.14</v>
      </c>
      <c r="F39" s="49">
        <v>339339.17</v>
      </c>
      <c r="G39" s="1"/>
      <c r="H39" s="1"/>
      <c r="I39" s="1"/>
      <c r="J39" s="1"/>
      <c r="K39" s="1"/>
      <c r="L39" s="1"/>
    </row>
    <row r="40" spans="2:12" customFormat="1" ht="15" x14ac:dyDescent="0.25">
      <c r="B40" s="52" t="s">
        <v>63</v>
      </c>
      <c r="C40" s="53">
        <v>39941.620000000003</v>
      </c>
      <c r="D40" s="53">
        <v>10963.74</v>
      </c>
      <c r="E40" s="53">
        <v>14907.22</v>
      </c>
      <c r="F40" s="53">
        <v>118437.39</v>
      </c>
      <c r="G40" s="1"/>
      <c r="H40" s="1"/>
      <c r="I40" s="1"/>
      <c r="J40" s="1"/>
      <c r="K40" s="1"/>
      <c r="L40" s="1"/>
    </row>
    <row r="41" spans="2:12" customFormat="1" ht="15" x14ac:dyDescent="0.25">
      <c r="B41" s="52" t="s">
        <v>64</v>
      </c>
      <c r="C41" s="53">
        <f>SUM(C42:C47)</f>
        <v>47413.5</v>
      </c>
      <c r="D41" s="53">
        <f>SUM(D42:D47)</f>
        <v>12197.03</v>
      </c>
      <c r="E41" s="53">
        <f>SUM(E42:E47)</f>
        <v>9173.6099999999988</v>
      </c>
      <c r="F41" s="53">
        <f>SUM(F42:F47)</f>
        <v>228217.05</v>
      </c>
      <c r="G41" s="1"/>
      <c r="H41" s="1"/>
      <c r="I41" s="1"/>
      <c r="J41" s="1"/>
      <c r="K41" s="1"/>
      <c r="L41" s="1"/>
    </row>
    <row r="42" spans="2:12" customFormat="1" ht="15" x14ac:dyDescent="0.25">
      <c r="B42" s="55" t="s">
        <v>119</v>
      </c>
      <c r="C42" s="56">
        <v>0</v>
      </c>
      <c r="D42" s="56">
        <v>0</v>
      </c>
      <c r="E42" s="56">
        <v>201.48</v>
      </c>
      <c r="F42" s="56">
        <v>19.98</v>
      </c>
      <c r="G42" s="1"/>
      <c r="H42" s="1"/>
      <c r="I42" s="1"/>
      <c r="J42" s="1"/>
      <c r="K42" s="1"/>
      <c r="L42" s="1"/>
    </row>
    <row r="43" spans="2:12" customFormat="1" ht="15" x14ac:dyDescent="0.25">
      <c r="B43" s="55" t="s">
        <v>65</v>
      </c>
      <c r="C43" s="56">
        <v>14318.84</v>
      </c>
      <c r="D43" s="56">
        <v>3901.12</v>
      </c>
      <c r="E43" s="56">
        <v>4327.72</v>
      </c>
      <c r="F43" s="56">
        <v>55054.49</v>
      </c>
      <c r="G43" s="1"/>
      <c r="H43" s="1"/>
      <c r="I43" s="1"/>
      <c r="J43" s="1"/>
      <c r="K43" s="1"/>
      <c r="L43" s="1"/>
    </row>
    <row r="44" spans="2:12" customFormat="1" ht="15" x14ac:dyDescent="0.25">
      <c r="B44" s="55" t="s">
        <v>66</v>
      </c>
      <c r="C44" s="56">
        <v>20900.79</v>
      </c>
      <c r="D44" s="56">
        <v>926.25</v>
      </c>
      <c r="E44" s="56">
        <v>1082.27</v>
      </c>
      <c r="F44" s="56">
        <v>20523.580000000002</v>
      </c>
      <c r="G44" s="1"/>
      <c r="H44" s="1"/>
      <c r="I44" s="1"/>
      <c r="J44" s="1"/>
      <c r="K44" s="1"/>
      <c r="L44" s="1"/>
    </row>
    <row r="45" spans="2:12" customFormat="1" ht="15" x14ac:dyDescent="0.25">
      <c r="B45" s="55" t="s">
        <v>67</v>
      </c>
      <c r="C45" s="56">
        <v>0</v>
      </c>
      <c r="D45" s="56">
        <v>0</v>
      </c>
      <c r="E45" s="56">
        <v>0</v>
      </c>
      <c r="F45" s="56">
        <v>871.82</v>
      </c>
      <c r="G45" s="1"/>
      <c r="H45" s="1"/>
      <c r="I45" s="1"/>
      <c r="J45" s="1"/>
      <c r="K45" s="1"/>
      <c r="L45" s="51"/>
    </row>
    <row r="46" spans="2:12" customFormat="1" ht="15.75" customHeight="1" x14ac:dyDescent="0.25">
      <c r="B46" s="55" t="s">
        <v>68</v>
      </c>
      <c r="C46" s="56">
        <v>6084.31</v>
      </c>
      <c r="D46" s="56">
        <v>319.98</v>
      </c>
      <c r="E46" s="56">
        <v>319.98</v>
      </c>
      <c r="F46" s="56">
        <v>22164.87</v>
      </c>
      <c r="G46" s="1"/>
      <c r="H46" s="1"/>
      <c r="I46" s="1"/>
      <c r="J46" s="1"/>
      <c r="K46" s="1"/>
      <c r="L46" s="1"/>
    </row>
    <row r="47" spans="2:12" customFormat="1" ht="15" x14ac:dyDescent="0.25">
      <c r="B47" s="55" t="s">
        <v>70</v>
      </c>
      <c r="C47" s="56">
        <f>5862.06+247.5</f>
        <v>6109.56</v>
      </c>
      <c r="D47" s="56">
        <v>7049.68</v>
      </c>
      <c r="E47" s="56">
        <f>3040.42+201.74</f>
        <v>3242.16</v>
      </c>
      <c r="F47" s="56">
        <f>127712.75+1869.56</f>
        <v>129582.31</v>
      </c>
      <c r="G47" s="1"/>
      <c r="H47" s="1"/>
      <c r="I47" s="1"/>
      <c r="J47" s="1"/>
      <c r="K47" s="1"/>
      <c r="L47" s="1"/>
    </row>
    <row r="48" spans="2:12" customFormat="1" ht="15.75" thickBot="1" x14ac:dyDescent="0.3">
      <c r="B48" s="103" t="s">
        <v>71</v>
      </c>
      <c r="C48" s="104">
        <v>4058.01</v>
      </c>
      <c r="D48" s="104">
        <v>216.55</v>
      </c>
      <c r="E48" s="104">
        <v>0</v>
      </c>
      <c r="F48" s="104">
        <v>3772.37</v>
      </c>
      <c r="G48" s="1"/>
      <c r="H48" s="1"/>
      <c r="I48" s="1"/>
      <c r="J48" s="1"/>
      <c r="K48" s="1"/>
      <c r="L48" s="1"/>
    </row>
    <row r="49" spans="2:12" customFormat="1" ht="21.75" customHeight="1" thickTop="1" thickBot="1" x14ac:dyDescent="0.3">
      <c r="B49" s="105" t="s">
        <v>120</v>
      </c>
      <c r="C49" s="106">
        <f>C39+C40+C41+C48</f>
        <v>203410.80000000002</v>
      </c>
      <c r="D49" s="106">
        <f>D39+D40+D41+D48</f>
        <v>51711.560000000005</v>
      </c>
      <c r="E49" s="106">
        <f>E39+E40+E41+E48</f>
        <v>65409.97</v>
      </c>
      <c r="F49" s="106">
        <f>F39+F40+F41+F48</f>
        <v>689765.98</v>
      </c>
      <c r="G49" s="1"/>
      <c r="H49" s="1"/>
      <c r="I49" s="1"/>
      <c r="J49" s="1"/>
      <c r="K49" s="1"/>
      <c r="L49" s="1"/>
    </row>
    <row r="50" spans="2:12" ht="9" customHeight="1" thickBot="1" x14ac:dyDescent="0.25"/>
    <row r="51" spans="2:12" ht="79.5" thickBot="1" x14ac:dyDescent="0.25">
      <c r="B51" s="44" t="s">
        <v>56</v>
      </c>
      <c r="C51" s="45" t="s">
        <v>121</v>
      </c>
      <c r="D51" s="45" t="s">
        <v>122</v>
      </c>
      <c r="E51" s="45" t="s">
        <v>123</v>
      </c>
      <c r="F51" s="107" t="s">
        <v>124</v>
      </c>
      <c r="G51" s="108" t="s">
        <v>125</v>
      </c>
    </row>
    <row r="52" spans="2:12" ht="15" thickTop="1" x14ac:dyDescent="0.2">
      <c r="B52" s="48" t="s">
        <v>62</v>
      </c>
      <c r="C52" s="49">
        <v>685826</v>
      </c>
      <c r="D52" s="49">
        <v>568008.22</v>
      </c>
      <c r="E52" s="49">
        <v>8854.4</v>
      </c>
      <c r="F52" s="109">
        <v>130185.18</v>
      </c>
      <c r="G52" s="110">
        <f t="shared" ref="G52:G59" si="0">C39+D39+E39+F39+C52+D52+E52+F52</f>
        <v>1913874.0199999998</v>
      </c>
    </row>
    <row r="53" spans="2:12" x14ac:dyDescent="0.2">
      <c r="B53" s="52" t="s">
        <v>63</v>
      </c>
      <c r="C53" s="53">
        <v>242657.84</v>
      </c>
      <c r="D53" s="53">
        <v>184054.9</v>
      </c>
      <c r="E53" s="53">
        <v>3135.13</v>
      </c>
      <c r="F53" s="111">
        <v>48494.76</v>
      </c>
      <c r="G53" s="112">
        <f t="shared" si="0"/>
        <v>662592.6</v>
      </c>
    </row>
    <row r="54" spans="2:12" x14ac:dyDescent="0.2">
      <c r="B54" s="52" t="s">
        <v>64</v>
      </c>
      <c r="C54" s="53">
        <f>SUM(C55:C60)</f>
        <v>425755.86</v>
      </c>
      <c r="D54" s="53">
        <f>SUM(D55:D60)</f>
        <v>61731.29</v>
      </c>
      <c r="E54" s="53">
        <f>SUM(E55:E60)</f>
        <v>3346.23</v>
      </c>
      <c r="F54" s="111">
        <f>SUM(F55:F60)</f>
        <v>31578.98</v>
      </c>
      <c r="G54" s="112">
        <f t="shared" si="0"/>
        <v>819413.55</v>
      </c>
    </row>
    <row r="55" spans="2:12" x14ac:dyDescent="0.2">
      <c r="B55" s="55" t="s">
        <v>119</v>
      </c>
      <c r="C55" s="56">
        <v>200</v>
      </c>
      <c r="D55" s="56">
        <v>0</v>
      </c>
      <c r="E55" s="56">
        <v>0</v>
      </c>
      <c r="F55" s="113">
        <v>266.72000000000003</v>
      </c>
      <c r="G55" s="114">
        <f t="shared" si="0"/>
        <v>688.18000000000006</v>
      </c>
    </row>
    <row r="56" spans="2:12" x14ac:dyDescent="0.2">
      <c r="B56" s="55" t="s">
        <v>65</v>
      </c>
      <c r="C56" s="56">
        <v>95294.05</v>
      </c>
      <c r="D56" s="56">
        <v>801.74</v>
      </c>
      <c r="E56" s="56">
        <v>6.6</v>
      </c>
      <c r="F56" s="113">
        <v>2275.19</v>
      </c>
      <c r="G56" s="114">
        <f t="shared" si="0"/>
        <v>175979.75</v>
      </c>
    </row>
    <row r="57" spans="2:12" x14ac:dyDescent="0.2">
      <c r="B57" s="55" t="s">
        <v>66</v>
      </c>
      <c r="C57" s="56">
        <v>39277.1</v>
      </c>
      <c r="D57" s="56">
        <v>2635.3</v>
      </c>
      <c r="E57" s="56">
        <v>9</v>
      </c>
      <c r="F57" s="113">
        <v>3974.25</v>
      </c>
      <c r="G57" s="114">
        <f t="shared" si="0"/>
        <v>89328.54</v>
      </c>
    </row>
    <row r="58" spans="2:12" x14ac:dyDescent="0.2">
      <c r="B58" s="55" t="s">
        <v>67</v>
      </c>
      <c r="C58" s="56">
        <v>1193.08</v>
      </c>
      <c r="D58" s="56">
        <v>4728.93</v>
      </c>
      <c r="E58" s="56">
        <v>2674.78</v>
      </c>
      <c r="F58" s="113">
        <v>1386.92</v>
      </c>
      <c r="G58" s="114">
        <f t="shared" si="0"/>
        <v>10855.53</v>
      </c>
    </row>
    <row r="59" spans="2:12" ht="15.75" customHeight="1" x14ac:dyDescent="0.2">
      <c r="B59" s="55" t="s">
        <v>68</v>
      </c>
      <c r="C59" s="56">
        <v>39993.339999999997</v>
      </c>
      <c r="D59" s="56">
        <v>0</v>
      </c>
      <c r="E59" s="56">
        <v>0</v>
      </c>
      <c r="F59" s="113">
        <v>1398.58</v>
      </c>
      <c r="G59" s="114">
        <f t="shared" si="0"/>
        <v>70281.06</v>
      </c>
    </row>
    <row r="60" spans="2:12" x14ac:dyDescent="0.2">
      <c r="B60" s="55" t="s">
        <v>70</v>
      </c>
      <c r="C60" s="56">
        <f>247354.25+2444.04</f>
        <v>249798.29</v>
      </c>
      <c r="D60" s="56">
        <f>51090.81+2474.51</f>
        <v>53565.32</v>
      </c>
      <c r="E60" s="56">
        <v>655.85</v>
      </c>
      <c r="F60" s="113">
        <f>21380.82+896.5</f>
        <v>22277.32</v>
      </c>
      <c r="G60" s="114">
        <f t="shared" ref="G60:G61" si="1">C47+D47+E47+F47+C60+D60+E60+F60</f>
        <v>472280.49</v>
      </c>
    </row>
    <row r="61" spans="2:12" ht="15" thickBot="1" x14ac:dyDescent="0.25">
      <c r="B61" s="103" t="s">
        <v>71</v>
      </c>
      <c r="C61" s="104">
        <v>10121.6</v>
      </c>
      <c r="D61" s="104">
        <v>5721.23</v>
      </c>
      <c r="E61" s="104">
        <v>225.32</v>
      </c>
      <c r="F61" s="115">
        <v>198.9</v>
      </c>
      <c r="G61" s="116">
        <f t="shared" si="1"/>
        <v>24313.98</v>
      </c>
    </row>
    <row r="62" spans="2:12" ht="16.5" thickTop="1" thickBot="1" x14ac:dyDescent="0.25">
      <c r="B62" s="105" t="s">
        <v>120</v>
      </c>
      <c r="C62" s="106">
        <f>C52+C53+C54+C61</f>
        <v>1364361.3</v>
      </c>
      <c r="D62" s="106">
        <f t="shared" ref="D62:F62" si="2">D52+D53+D54+D61</f>
        <v>819515.64</v>
      </c>
      <c r="E62" s="106">
        <f t="shared" si="2"/>
        <v>15561.079999999998</v>
      </c>
      <c r="F62" s="106">
        <f t="shared" si="2"/>
        <v>210457.82</v>
      </c>
      <c r="G62" s="118">
        <f>C49+D49+E49+F49+C62+D62+E62+F62</f>
        <v>3420194.1500000004</v>
      </c>
    </row>
    <row r="63" spans="2:12" ht="16.5" thickTop="1" thickBot="1" x14ac:dyDescent="0.25">
      <c r="B63" s="105" t="s">
        <v>126</v>
      </c>
      <c r="C63" s="106">
        <v>5391.76</v>
      </c>
      <c r="D63" s="106">
        <v>0</v>
      </c>
      <c r="E63" s="106">
        <v>0</v>
      </c>
      <c r="F63" s="117">
        <v>0</v>
      </c>
      <c r="G63" s="118">
        <f>C63</f>
        <v>5391.76</v>
      </c>
    </row>
  </sheetData>
  <mergeCells count="32">
    <mergeCell ref="B35:D35"/>
    <mergeCell ref="B36:D36"/>
    <mergeCell ref="B27:D27"/>
    <mergeCell ref="B30:D30"/>
    <mergeCell ref="B31:D31"/>
    <mergeCell ref="B32:D32"/>
    <mergeCell ref="B33:D33"/>
    <mergeCell ref="B34:D34"/>
    <mergeCell ref="B29:D29"/>
    <mergeCell ref="B26:D26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14:D14"/>
    <mergeCell ref="B3:G3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ageMargins left="0.86614173228346525" right="0.59055118110236182" top="0.11811023622047202" bottom="0.15748031496063003" header="0.11811023622047202" footer="0.15748031496063003"/>
  <pageSetup paperSize="9" scale="75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K37"/>
  <sheetViews>
    <sheetView workbookViewId="0"/>
  </sheetViews>
  <sheetFormatPr defaultRowHeight="12.75" x14ac:dyDescent="0.2"/>
  <cols>
    <col min="1" max="1" width="5.140625" style="27" customWidth="1"/>
    <col min="2" max="2" width="23.7109375" style="27" customWidth="1"/>
    <col min="3" max="3" width="12.140625" style="27" customWidth="1"/>
    <col min="4" max="4" width="10.85546875" style="27" customWidth="1"/>
    <col min="5" max="5" width="11.28515625" style="27" customWidth="1"/>
    <col min="6" max="6" width="10.7109375" style="27" customWidth="1"/>
    <col min="7" max="7" width="11.7109375" style="27" customWidth="1"/>
    <col min="8" max="8" width="10.140625" style="27" bestFit="1" customWidth="1"/>
    <col min="9" max="9" width="9.140625" style="27" customWidth="1"/>
    <col min="10" max="16384" width="9.140625" style="27"/>
  </cols>
  <sheetData>
    <row r="1" spans="2:8" ht="27.75" customHeight="1" x14ac:dyDescent="0.2">
      <c r="H1" s="119" t="s">
        <v>127</v>
      </c>
    </row>
    <row r="2" spans="2:8" ht="18.75" customHeight="1" x14ac:dyDescent="0.25">
      <c r="B2" s="787" t="s">
        <v>128</v>
      </c>
      <c r="C2" s="787"/>
      <c r="D2" s="787"/>
      <c r="E2" s="787"/>
      <c r="F2" s="787"/>
      <c r="G2" s="787"/>
      <c r="H2" s="787"/>
    </row>
    <row r="3" spans="2:8" ht="22.5" customHeight="1" thickBot="1" x14ac:dyDescent="0.25"/>
    <row r="4" spans="2:8" ht="21" customHeight="1" thickBot="1" x14ac:dyDescent="0.25">
      <c r="B4" s="788" t="s">
        <v>129</v>
      </c>
      <c r="C4" s="788"/>
      <c r="D4" s="788"/>
      <c r="E4" s="788"/>
    </row>
    <row r="5" spans="2:8" ht="24.75" customHeight="1" thickTop="1" x14ac:dyDescent="0.2">
      <c r="B5" s="772" t="s">
        <v>130</v>
      </c>
      <c r="C5" s="772"/>
      <c r="D5" s="772"/>
      <c r="E5" s="120">
        <v>2351.91</v>
      </c>
    </row>
    <row r="6" spans="2:8" ht="14.25" customHeight="1" x14ac:dyDescent="0.2">
      <c r="B6" s="773" t="s">
        <v>131</v>
      </c>
      <c r="C6" s="773"/>
      <c r="D6" s="773"/>
      <c r="E6" s="121">
        <v>32599.31</v>
      </c>
    </row>
    <row r="7" spans="2:8" x14ac:dyDescent="0.2">
      <c r="B7" s="789" t="s">
        <v>132</v>
      </c>
      <c r="C7" s="789"/>
      <c r="D7" s="789"/>
      <c r="E7" s="121">
        <v>145102.39999999999</v>
      </c>
    </row>
    <row r="8" spans="2:8" x14ac:dyDescent="0.2">
      <c r="B8" s="789" t="s">
        <v>133</v>
      </c>
      <c r="C8" s="789"/>
      <c r="D8" s="789"/>
      <c r="E8" s="121">
        <v>219955.34</v>
      </c>
    </row>
    <row r="9" spans="2:8" s="122" customFormat="1" x14ac:dyDescent="0.25">
      <c r="B9" s="790" t="s">
        <v>545</v>
      </c>
      <c r="C9" s="791"/>
      <c r="D9" s="792"/>
      <c r="E9" s="123">
        <v>1686.47</v>
      </c>
    </row>
    <row r="10" spans="2:8" s="122" customFormat="1" x14ac:dyDescent="0.2">
      <c r="B10" s="770" t="s">
        <v>52</v>
      </c>
      <c r="C10" s="770"/>
      <c r="D10" s="770"/>
      <c r="E10" s="124">
        <v>2506.17</v>
      </c>
    </row>
    <row r="11" spans="2:8" x14ac:dyDescent="0.2">
      <c r="B11" s="770" t="s">
        <v>134</v>
      </c>
      <c r="C11" s="770"/>
      <c r="D11" s="770"/>
      <c r="E11" s="124">
        <v>2693.35</v>
      </c>
    </row>
    <row r="12" spans="2:8" s="454" customFormat="1" ht="13.5" thickBot="1" x14ac:dyDescent="0.25">
      <c r="B12" s="793" t="s">
        <v>173</v>
      </c>
      <c r="C12" s="794"/>
      <c r="D12" s="795"/>
      <c r="E12" s="378">
        <v>750</v>
      </c>
    </row>
    <row r="13" spans="2:8" s="127" customFormat="1" ht="21.75" customHeight="1" thickTop="1" thickBot="1" x14ac:dyDescent="0.3">
      <c r="B13" s="786" t="s">
        <v>125</v>
      </c>
      <c r="C13" s="786"/>
      <c r="D13" s="786"/>
      <c r="E13" s="128">
        <f>SUM(E5:E12)</f>
        <v>407644.9499999999</v>
      </c>
    </row>
    <row r="14" spans="2:8" ht="5.25" customHeight="1" x14ac:dyDescent="0.2"/>
    <row r="15" spans="2:8" ht="13.5" customHeight="1" x14ac:dyDescent="0.2"/>
    <row r="16" spans="2:8" ht="13.5" thickBot="1" x14ac:dyDescent="0.25"/>
    <row r="17" spans="2:11" s="129" customFormat="1" ht="68.25" thickBot="1" x14ac:dyDescent="0.3">
      <c r="B17" s="130" t="s">
        <v>56</v>
      </c>
      <c r="C17" s="45" t="s">
        <v>136</v>
      </c>
      <c r="D17" s="45" t="s">
        <v>137</v>
      </c>
      <c r="E17" s="45" t="s">
        <v>138</v>
      </c>
      <c r="F17" s="45" t="s">
        <v>139</v>
      </c>
      <c r="G17" s="45" t="s">
        <v>140</v>
      </c>
      <c r="H17" s="131" t="s">
        <v>125</v>
      </c>
    </row>
    <row r="18" spans="2:11" s="127" customFormat="1" ht="13.5" thickTop="1" x14ac:dyDescent="0.25">
      <c r="B18" s="48" t="s">
        <v>62</v>
      </c>
      <c r="C18" s="132">
        <v>2072033.66</v>
      </c>
      <c r="D18" s="132">
        <v>92577.12</v>
      </c>
      <c r="E18" s="132">
        <v>12419.79</v>
      </c>
      <c r="F18" s="132">
        <v>391017.39</v>
      </c>
      <c r="G18" s="132">
        <v>96088.53</v>
      </c>
      <c r="H18" s="133">
        <f t="shared" ref="H18:H28" si="0">C18+D18+E18+F18+G18</f>
        <v>2664136.4899999998</v>
      </c>
    </row>
    <row r="19" spans="2:11" s="127" customFormat="1" x14ac:dyDescent="0.25">
      <c r="B19" s="52" t="s">
        <v>63</v>
      </c>
      <c r="C19" s="134">
        <v>745426.66</v>
      </c>
      <c r="D19" s="134">
        <v>33860.112999999998</v>
      </c>
      <c r="E19" s="134">
        <v>4643.92</v>
      </c>
      <c r="F19" s="134">
        <v>140831.35</v>
      </c>
      <c r="G19" s="134">
        <v>34928.980000000003</v>
      </c>
      <c r="H19" s="135">
        <f t="shared" si="0"/>
        <v>959691.02300000004</v>
      </c>
    </row>
    <row r="20" spans="2:11" s="127" customFormat="1" x14ac:dyDescent="0.25">
      <c r="B20" s="52" t="s">
        <v>64</v>
      </c>
      <c r="C20" s="134">
        <f t="shared" ref="C20:G20" si="1">C21+C22+C23+C24+C25+C26+C27</f>
        <v>682178.87</v>
      </c>
      <c r="D20" s="134">
        <f t="shared" si="1"/>
        <v>12652.740000000002</v>
      </c>
      <c r="E20" s="134">
        <f t="shared" si="1"/>
        <v>470.14</v>
      </c>
      <c r="F20" s="134">
        <f t="shared" si="1"/>
        <v>393366.33999999997</v>
      </c>
      <c r="G20" s="134">
        <f t="shared" si="1"/>
        <v>59411.130000000005</v>
      </c>
      <c r="H20" s="135">
        <f t="shared" si="0"/>
        <v>1148079.2199999997</v>
      </c>
    </row>
    <row r="21" spans="2:11" s="127" customFormat="1" x14ac:dyDescent="0.25">
      <c r="B21" s="55" t="s">
        <v>81</v>
      </c>
      <c r="C21" s="136">
        <v>0</v>
      </c>
      <c r="D21" s="136">
        <v>0</v>
      </c>
      <c r="E21" s="136">
        <v>0</v>
      </c>
      <c r="F21" s="136">
        <v>0</v>
      </c>
      <c r="G21" s="136">
        <v>9.5</v>
      </c>
      <c r="H21" s="137">
        <f t="shared" si="0"/>
        <v>9.5</v>
      </c>
    </row>
    <row r="22" spans="2:11" s="127" customFormat="1" x14ac:dyDescent="0.25">
      <c r="B22" s="55" t="s">
        <v>65</v>
      </c>
      <c r="C22" s="136">
        <v>325357.55</v>
      </c>
      <c r="D22" s="136">
        <v>6061.4</v>
      </c>
      <c r="E22" s="136">
        <v>310</v>
      </c>
      <c r="F22" s="136">
        <v>392.4</v>
      </c>
      <c r="G22" s="136">
        <v>791.79</v>
      </c>
      <c r="H22" s="137">
        <f t="shared" si="0"/>
        <v>332913.14</v>
      </c>
    </row>
    <row r="23" spans="2:11" s="127" customFormat="1" x14ac:dyDescent="0.25">
      <c r="B23" s="55" t="s">
        <v>66</v>
      </c>
      <c r="C23" s="136">
        <v>166210.62</v>
      </c>
      <c r="D23" s="136">
        <v>3172.69</v>
      </c>
      <c r="E23" s="136">
        <v>0</v>
      </c>
      <c r="F23" s="136">
        <v>341481.49</v>
      </c>
      <c r="G23" s="136">
        <v>7006.14</v>
      </c>
      <c r="H23" s="137">
        <f t="shared" si="0"/>
        <v>517870.94</v>
      </c>
    </row>
    <row r="24" spans="2:11" s="127" customFormat="1" x14ac:dyDescent="0.25">
      <c r="B24" s="55" t="s">
        <v>67</v>
      </c>
      <c r="C24" s="136">
        <v>0</v>
      </c>
      <c r="D24" s="136">
        <v>0</v>
      </c>
      <c r="E24" s="136">
        <v>0</v>
      </c>
      <c r="F24" s="136">
        <v>0</v>
      </c>
      <c r="G24" s="136">
        <v>3466.15</v>
      </c>
      <c r="H24" s="137">
        <f t="shared" si="0"/>
        <v>3466.15</v>
      </c>
    </row>
    <row r="25" spans="2:11" s="127" customFormat="1" x14ac:dyDescent="0.25">
      <c r="B25" s="55" t="s">
        <v>68</v>
      </c>
      <c r="C25" s="136">
        <v>106305.56</v>
      </c>
      <c r="D25" s="136">
        <v>134.11000000000001</v>
      </c>
      <c r="E25" s="136">
        <v>0</v>
      </c>
      <c r="F25" s="136">
        <v>34920.35</v>
      </c>
      <c r="G25" s="136">
        <v>0</v>
      </c>
      <c r="H25" s="137">
        <f t="shared" si="0"/>
        <v>141360.01999999999</v>
      </c>
    </row>
    <row r="26" spans="2:11" s="127" customFormat="1" x14ac:dyDescent="0.25">
      <c r="B26" s="55" t="s">
        <v>69</v>
      </c>
      <c r="C26" s="136">
        <v>15623.05</v>
      </c>
      <c r="D26" s="136">
        <v>0</v>
      </c>
      <c r="E26" s="136">
        <v>0</v>
      </c>
      <c r="F26" s="136">
        <v>0</v>
      </c>
      <c r="G26" s="136">
        <v>2661.76</v>
      </c>
      <c r="H26" s="137">
        <f t="shared" si="0"/>
        <v>18284.809999999998</v>
      </c>
    </row>
    <row r="27" spans="2:11" s="127" customFormat="1" x14ac:dyDescent="0.25">
      <c r="B27" s="55" t="s">
        <v>70</v>
      </c>
      <c r="C27" s="136">
        <v>68682.09</v>
      </c>
      <c r="D27" s="136">
        <v>3284.54</v>
      </c>
      <c r="E27" s="136">
        <v>160.13999999999999</v>
      </c>
      <c r="F27" s="136">
        <v>16572.099999999999</v>
      </c>
      <c r="G27" s="136">
        <v>45475.79</v>
      </c>
      <c r="H27" s="137">
        <f t="shared" si="0"/>
        <v>134174.66</v>
      </c>
    </row>
    <row r="28" spans="2:11" ht="13.5" thickBot="1" x14ac:dyDescent="0.25">
      <c r="B28" s="103" t="s">
        <v>71</v>
      </c>
      <c r="C28" s="104">
        <v>13796.6</v>
      </c>
      <c r="D28" s="104">
        <v>0</v>
      </c>
      <c r="E28" s="104">
        <v>0</v>
      </c>
      <c r="F28" s="104">
        <v>8153.72</v>
      </c>
      <c r="G28" s="104">
        <v>2674.02</v>
      </c>
      <c r="H28" s="138">
        <f t="shared" si="0"/>
        <v>24624.34</v>
      </c>
    </row>
    <row r="29" spans="2:11" ht="22.5" customHeight="1" thickTop="1" thickBot="1" x14ac:dyDescent="0.25">
      <c r="B29" s="139" t="s">
        <v>72</v>
      </c>
      <c r="C29" s="140">
        <f t="shared" ref="C29:G29" si="2">C18+C19+C20+C28</f>
        <v>3513435.79</v>
      </c>
      <c r="D29" s="140">
        <f t="shared" si="2"/>
        <v>139089.973</v>
      </c>
      <c r="E29" s="140">
        <f t="shared" si="2"/>
        <v>17533.849999999999</v>
      </c>
      <c r="F29" s="140">
        <f t="shared" si="2"/>
        <v>933368.79999999993</v>
      </c>
      <c r="G29" s="140">
        <f t="shared" si="2"/>
        <v>193102.66</v>
      </c>
      <c r="H29" s="141">
        <f>G29+F29+E29+D29+C29</f>
        <v>4796531.0729999999</v>
      </c>
      <c r="J29" s="148"/>
    </row>
    <row r="30" spans="2:11" s="127" customFormat="1" ht="24.75" thickTop="1" x14ac:dyDescent="0.25">
      <c r="B30" s="48" t="s">
        <v>141</v>
      </c>
      <c r="C30" s="132">
        <v>0</v>
      </c>
      <c r="D30" s="132">
        <v>0</v>
      </c>
      <c r="E30" s="132">
        <v>0</v>
      </c>
      <c r="F30" s="132">
        <v>4900</v>
      </c>
      <c r="G30" s="132">
        <v>0</v>
      </c>
      <c r="H30" s="133">
        <f>C30+D30+E30+F30+G30</f>
        <v>4900</v>
      </c>
    </row>
    <row r="31" spans="2:11" ht="13.5" thickBot="1" x14ac:dyDescent="0.25">
      <c r="B31" s="142" t="s">
        <v>142</v>
      </c>
      <c r="C31" s="143">
        <v>43676.27</v>
      </c>
      <c r="D31" s="143">
        <v>0</v>
      </c>
      <c r="E31" s="143">
        <v>0</v>
      </c>
      <c r="F31" s="143">
        <v>0</v>
      </c>
      <c r="G31" s="143">
        <v>0</v>
      </c>
      <c r="H31" s="144">
        <f>C31+D31+E31+F31+G31</f>
        <v>43676.27</v>
      </c>
    </row>
    <row r="32" spans="2:11" ht="27" thickTop="1" thickBot="1" x14ac:dyDescent="0.25">
      <c r="B32" s="145" t="s">
        <v>73</v>
      </c>
      <c r="C32" s="146">
        <f t="shared" ref="C32:G32" si="3">C30+C31</f>
        <v>43676.27</v>
      </c>
      <c r="D32" s="146">
        <f t="shared" si="3"/>
        <v>0</v>
      </c>
      <c r="E32" s="146">
        <f t="shared" si="3"/>
        <v>0</v>
      </c>
      <c r="F32" s="146">
        <f t="shared" si="3"/>
        <v>4900</v>
      </c>
      <c r="G32" s="146">
        <f t="shared" si="3"/>
        <v>0</v>
      </c>
      <c r="H32" s="147">
        <f>G32+F32+E32+D32+C32</f>
        <v>48576.27</v>
      </c>
      <c r="K32" s="148"/>
    </row>
    <row r="34" spans="3:8" x14ac:dyDescent="0.2">
      <c r="C34" s="148"/>
      <c r="D34" s="148"/>
      <c r="E34" s="148"/>
      <c r="F34" s="148"/>
      <c r="G34" s="148"/>
    </row>
    <row r="36" spans="3:8" x14ac:dyDescent="0.2">
      <c r="H36" s="148"/>
    </row>
    <row r="37" spans="3:8" x14ac:dyDescent="0.2">
      <c r="H37" s="148"/>
    </row>
  </sheetData>
  <mergeCells count="11">
    <mergeCell ref="B10:D10"/>
    <mergeCell ref="B11:D11"/>
    <mergeCell ref="B13:D13"/>
    <mergeCell ref="B2:H2"/>
    <mergeCell ref="B4:E4"/>
    <mergeCell ref="B5:D5"/>
    <mergeCell ref="B6:D6"/>
    <mergeCell ref="B7:D7"/>
    <mergeCell ref="B8:D8"/>
    <mergeCell ref="B9:D9"/>
    <mergeCell ref="B12:D12"/>
  </mergeCells>
  <pageMargins left="0.59055118110236182" right="0.27559055118110198" top="0.98425196850393704" bottom="0.98425196850393704" header="0.511811023622047" footer="0.511811023622047"/>
  <pageSetup paperSize="9" scale="90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L76"/>
  <sheetViews>
    <sheetView topLeftCell="A34" workbookViewId="0">
      <selection activeCell="D50" sqref="D50"/>
    </sheetView>
  </sheetViews>
  <sheetFormatPr defaultRowHeight="12.75" x14ac:dyDescent="0.2"/>
  <cols>
    <col min="1" max="1" width="9.42578125" style="149" customWidth="1"/>
    <col min="2" max="2" width="16.42578125" style="149" customWidth="1"/>
    <col min="3" max="3" width="10.140625" style="149" customWidth="1"/>
    <col min="4" max="4" width="9.5703125" style="149" customWidth="1"/>
    <col min="5" max="5" width="9.28515625" style="149" customWidth="1"/>
    <col min="6" max="7" width="8.42578125" style="149" customWidth="1"/>
    <col min="8" max="8" width="9.85546875" style="149" customWidth="1"/>
    <col min="9" max="9" width="8" style="149" customWidth="1"/>
    <col min="10" max="10" width="10" style="149" customWidth="1"/>
    <col min="11" max="256" width="9.42578125" style="149" customWidth="1"/>
    <col min="257" max="257" width="16.42578125" style="149" customWidth="1"/>
    <col min="258" max="258" width="10.140625" style="149" customWidth="1"/>
    <col min="259" max="259" width="8.42578125" style="149" customWidth="1"/>
    <col min="260" max="260" width="10" style="149" customWidth="1"/>
    <col min="261" max="261" width="8.42578125" style="149" customWidth="1"/>
    <col min="262" max="262" width="11" style="149" customWidth="1"/>
    <col min="263" max="263" width="9" style="149" customWidth="1"/>
    <col min="264" max="264" width="11.42578125" style="149" customWidth="1"/>
    <col min="265" max="265" width="12" style="149" customWidth="1"/>
    <col min="266" max="512" width="9.42578125" style="149" customWidth="1"/>
    <col min="513" max="513" width="16.42578125" style="149" customWidth="1"/>
    <col min="514" max="514" width="10.140625" style="149" customWidth="1"/>
    <col min="515" max="515" width="8.42578125" style="149" customWidth="1"/>
    <col min="516" max="516" width="10" style="149" customWidth="1"/>
    <col min="517" max="517" width="8.42578125" style="149" customWidth="1"/>
    <col min="518" max="518" width="11" style="149" customWidth="1"/>
    <col min="519" max="519" width="9" style="149" customWidth="1"/>
    <col min="520" max="520" width="11.42578125" style="149" customWidth="1"/>
    <col min="521" max="521" width="12" style="149" customWidth="1"/>
    <col min="522" max="768" width="9.42578125" style="149" customWidth="1"/>
    <col min="769" max="769" width="16.42578125" style="149" customWidth="1"/>
    <col min="770" max="770" width="10.140625" style="149" customWidth="1"/>
    <col min="771" max="771" width="8.42578125" style="149" customWidth="1"/>
    <col min="772" max="772" width="10" style="149" customWidth="1"/>
    <col min="773" max="773" width="8.42578125" style="149" customWidth="1"/>
    <col min="774" max="774" width="11" style="149" customWidth="1"/>
    <col min="775" max="775" width="9" style="149" customWidth="1"/>
    <col min="776" max="776" width="11.42578125" style="149" customWidth="1"/>
    <col min="777" max="777" width="12" style="149" customWidth="1"/>
    <col min="778" max="1024" width="9.42578125" style="149" customWidth="1"/>
    <col min="1025" max="1025" width="16.42578125" style="149" customWidth="1"/>
    <col min="1026" max="1026" width="10.140625" style="149" customWidth="1"/>
    <col min="1027" max="1027" width="8.42578125" style="149" customWidth="1"/>
    <col min="1028" max="1028" width="10" style="149" customWidth="1"/>
    <col min="1029" max="1029" width="8.42578125" style="149" customWidth="1"/>
    <col min="1030" max="1030" width="11" style="149" customWidth="1"/>
    <col min="1031" max="1031" width="9" style="149" customWidth="1"/>
    <col min="1032" max="1032" width="11.42578125" style="149" customWidth="1"/>
    <col min="1033" max="1033" width="12" style="149" customWidth="1"/>
    <col min="1034" max="1280" width="9.42578125" style="149" customWidth="1"/>
    <col min="1281" max="1281" width="16.42578125" style="149" customWidth="1"/>
    <col min="1282" max="1282" width="10.140625" style="149" customWidth="1"/>
    <col min="1283" max="1283" width="8.42578125" style="149" customWidth="1"/>
    <col min="1284" max="1284" width="10" style="149" customWidth="1"/>
    <col min="1285" max="1285" width="8.42578125" style="149" customWidth="1"/>
    <col min="1286" max="1286" width="11" style="149" customWidth="1"/>
    <col min="1287" max="1287" width="9" style="149" customWidth="1"/>
    <col min="1288" max="1288" width="11.42578125" style="149" customWidth="1"/>
    <col min="1289" max="1289" width="12" style="149" customWidth="1"/>
    <col min="1290" max="1536" width="9.42578125" style="149" customWidth="1"/>
    <col min="1537" max="1537" width="16.42578125" style="149" customWidth="1"/>
    <col min="1538" max="1538" width="10.140625" style="149" customWidth="1"/>
    <col min="1539" max="1539" width="8.42578125" style="149" customWidth="1"/>
    <col min="1540" max="1540" width="10" style="149" customWidth="1"/>
    <col min="1541" max="1541" width="8.42578125" style="149" customWidth="1"/>
    <col min="1542" max="1542" width="11" style="149" customWidth="1"/>
    <col min="1543" max="1543" width="9" style="149" customWidth="1"/>
    <col min="1544" max="1544" width="11.42578125" style="149" customWidth="1"/>
    <col min="1545" max="1545" width="12" style="149" customWidth="1"/>
    <col min="1546" max="1792" width="9.42578125" style="149" customWidth="1"/>
    <col min="1793" max="1793" width="16.42578125" style="149" customWidth="1"/>
    <col min="1794" max="1794" width="10.140625" style="149" customWidth="1"/>
    <col min="1795" max="1795" width="8.42578125" style="149" customWidth="1"/>
    <col min="1796" max="1796" width="10" style="149" customWidth="1"/>
    <col min="1797" max="1797" width="8.42578125" style="149" customWidth="1"/>
    <col min="1798" max="1798" width="11" style="149" customWidth="1"/>
    <col min="1799" max="1799" width="9" style="149" customWidth="1"/>
    <col min="1800" max="1800" width="11.42578125" style="149" customWidth="1"/>
    <col min="1801" max="1801" width="12" style="149" customWidth="1"/>
    <col min="1802" max="2048" width="9.42578125" style="149" customWidth="1"/>
    <col min="2049" max="2049" width="16.42578125" style="149" customWidth="1"/>
    <col min="2050" max="2050" width="10.140625" style="149" customWidth="1"/>
    <col min="2051" max="2051" width="8.42578125" style="149" customWidth="1"/>
    <col min="2052" max="2052" width="10" style="149" customWidth="1"/>
    <col min="2053" max="2053" width="8.42578125" style="149" customWidth="1"/>
    <col min="2054" max="2054" width="11" style="149" customWidth="1"/>
    <col min="2055" max="2055" width="9" style="149" customWidth="1"/>
    <col min="2056" max="2056" width="11.42578125" style="149" customWidth="1"/>
    <col min="2057" max="2057" width="12" style="149" customWidth="1"/>
    <col min="2058" max="2304" width="9.42578125" style="149" customWidth="1"/>
    <col min="2305" max="2305" width="16.42578125" style="149" customWidth="1"/>
    <col min="2306" max="2306" width="10.140625" style="149" customWidth="1"/>
    <col min="2307" max="2307" width="8.42578125" style="149" customWidth="1"/>
    <col min="2308" max="2308" width="10" style="149" customWidth="1"/>
    <col min="2309" max="2309" width="8.42578125" style="149" customWidth="1"/>
    <col min="2310" max="2310" width="11" style="149" customWidth="1"/>
    <col min="2311" max="2311" width="9" style="149" customWidth="1"/>
    <col min="2312" max="2312" width="11.42578125" style="149" customWidth="1"/>
    <col min="2313" max="2313" width="12" style="149" customWidth="1"/>
    <col min="2314" max="2560" width="9.42578125" style="149" customWidth="1"/>
    <col min="2561" max="2561" width="16.42578125" style="149" customWidth="1"/>
    <col min="2562" max="2562" width="10.140625" style="149" customWidth="1"/>
    <col min="2563" max="2563" width="8.42578125" style="149" customWidth="1"/>
    <col min="2564" max="2564" width="10" style="149" customWidth="1"/>
    <col min="2565" max="2565" width="8.42578125" style="149" customWidth="1"/>
    <col min="2566" max="2566" width="11" style="149" customWidth="1"/>
    <col min="2567" max="2567" width="9" style="149" customWidth="1"/>
    <col min="2568" max="2568" width="11.42578125" style="149" customWidth="1"/>
    <col min="2569" max="2569" width="12" style="149" customWidth="1"/>
    <col min="2570" max="2816" width="9.42578125" style="149" customWidth="1"/>
    <col min="2817" max="2817" width="16.42578125" style="149" customWidth="1"/>
    <col min="2818" max="2818" width="10.140625" style="149" customWidth="1"/>
    <col min="2819" max="2819" width="8.42578125" style="149" customWidth="1"/>
    <col min="2820" max="2820" width="10" style="149" customWidth="1"/>
    <col min="2821" max="2821" width="8.42578125" style="149" customWidth="1"/>
    <col min="2822" max="2822" width="11" style="149" customWidth="1"/>
    <col min="2823" max="2823" width="9" style="149" customWidth="1"/>
    <col min="2824" max="2824" width="11.42578125" style="149" customWidth="1"/>
    <col min="2825" max="2825" width="12" style="149" customWidth="1"/>
    <col min="2826" max="3072" width="9.42578125" style="149" customWidth="1"/>
    <col min="3073" max="3073" width="16.42578125" style="149" customWidth="1"/>
    <col min="3074" max="3074" width="10.140625" style="149" customWidth="1"/>
    <col min="3075" max="3075" width="8.42578125" style="149" customWidth="1"/>
    <col min="3076" max="3076" width="10" style="149" customWidth="1"/>
    <col min="3077" max="3077" width="8.42578125" style="149" customWidth="1"/>
    <col min="3078" max="3078" width="11" style="149" customWidth="1"/>
    <col min="3079" max="3079" width="9" style="149" customWidth="1"/>
    <col min="3080" max="3080" width="11.42578125" style="149" customWidth="1"/>
    <col min="3081" max="3081" width="12" style="149" customWidth="1"/>
    <col min="3082" max="3328" width="9.42578125" style="149" customWidth="1"/>
    <col min="3329" max="3329" width="16.42578125" style="149" customWidth="1"/>
    <col min="3330" max="3330" width="10.140625" style="149" customWidth="1"/>
    <col min="3331" max="3331" width="8.42578125" style="149" customWidth="1"/>
    <col min="3332" max="3332" width="10" style="149" customWidth="1"/>
    <col min="3333" max="3333" width="8.42578125" style="149" customWidth="1"/>
    <col min="3334" max="3334" width="11" style="149" customWidth="1"/>
    <col min="3335" max="3335" width="9" style="149" customWidth="1"/>
    <col min="3336" max="3336" width="11.42578125" style="149" customWidth="1"/>
    <col min="3337" max="3337" width="12" style="149" customWidth="1"/>
    <col min="3338" max="3584" width="9.42578125" style="149" customWidth="1"/>
    <col min="3585" max="3585" width="16.42578125" style="149" customWidth="1"/>
    <col min="3586" max="3586" width="10.140625" style="149" customWidth="1"/>
    <col min="3587" max="3587" width="8.42578125" style="149" customWidth="1"/>
    <col min="3588" max="3588" width="10" style="149" customWidth="1"/>
    <col min="3589" max="3589" width="8.42578125" style="149" customWidth="1"/>
    <col min="3590" max="3590" width="11" style="149" customWidth="1"/>
    <col min="3591" max="3591" width="9" style="149" customWidth="1"/>
    <col min="3592" max="3592" width="11.42578125" style="149" customWidth="1"/>
    <col min="3593" max="3593" width="12" style="149" customWidth="1"/>
    <col min="3594" max="3840" width="9.42578125" style="149" customWidth="1"/>
    <col min="3841" max="3841" width="16.42578125" style="149" customWidth="1"/>
    <col min="3842" max="3842" width="10.140625" style="149" customWidth="1"/>
    <col min="3843" max="3843" width="8.42578125" style="149" customWidth="1"/>
    <col min="3844" max="3844" width="10" style="149" customWidth="1"/>
    <col min="3845" max="3845" width="8.42578125" style="149" customWidth="1"/>
    <col min="3846" max="3846" width="11" style="149" customWidth="1"/>
    <col min="3847" max="3847" width="9" style="149" customWidth="1"/>
    <col min="3848" max="3848" width="11.42578125" style="149" customWidth="1"/>
    <col min="3849" max="3849" width="12" style="149" customWidth="1"/>
    <col min="3850" max="4096" width="9.42578125" style="149" customWidth="1"/>
    <col min="4097" max="4097" width="16.42578125" style="149" customWidth="1"/>
    <col min="4098" max="4098" width="10.140625" style="149" customWidth="1"/>
    <col min="4099" max="4099" width="8.42578125" style="149" customWidth="1"/>
    <col min="4100" max="4100" width="10" style="149" customWidth="1"/>
    <col min="4101" max="4101" width="8.42578125" style="149" customWidth="1"/>
    <col min="4102" max="4102" width="11" style="149" customWidth="1"/>
    <col min="4103" max="4103" width="9" style="149" customWidth="1"/>
    <col min="4104" max="4104" width="11.42578125" style="149" customWidth="1"/>
    <col min="4105" max="4105" width="12" style="149" customWidth="1"/>
    <col min="4106" max="4352" width="9.42578125" style="149" customWidth="1"/>
    <col min="4353" max="4353" width="16.42578125" style="149" customWidth="1"/>
    <col min="4354" max="4354" width="10.140625" style="149" customWidth="1"/>
    <col min="4355" max="4355" width="8.42578125" style="149" customWidth="1"/>
    <col min="4356" max="4356" width="10" style="149" customWidth="1"/>
    <col min="4357" max="4357" width="8.42578125" style="149" customWidth="1"/>
    <col min="4358" max="4358" width="11" style="149" customWidth="1"/>
    <col min="4359" max="4359" width="9" style="149" customWidth="1"/>
    <col min="4360" max="4360" width="11.42578125" style="149" customWidth="1"/>
    <col min="4361" max="4361" width="12" style="149" customWidth="1"/>
    <col min="4362" max="4608" width="9.42578125" style="149" customWidth="1"/>
    <col min="4609" max="4609" width="16.42578125" style="149" customWidth="1"/>
    <col min="4610" max="4610" width="10.140625" style="149" customWidth="1"/>
    <col min="4611" max="4611" width="8.42578125" style="149" customWidth="1"/>
    <col min="4612" max="4612" width="10" style="149" customWidth="1"/>
    <col min="4613" max="4613" width="8.42578125" style="149" customWidth="1"/>
    <col min="4614" max="4614" width="11" style="149" customWidth="1"/>
    <col min="4615" max="4615" width="9" style="149" customWidth="1"/>
    <col min="4616" max="4616" width="11.42578125" style="149" customWidth="1"/>
    <col min="4617" max="4617" width="12" style="149" customWidth="1"/>
    <col min="4618" max="4864" width="9.42578125" style="149" customWidth="1"/>
    <col min="4865" max="4865" width="16.42578125" style="149" customWidth="1"/>
    <col min="4866" max="4866" width="10.140625" style="149" customWidth="1"/>
    <col min="4867" max="4867" width="8.42578125" style="149" customWidth="1"/>
    <col min="4868" max="4868" width="10" style="149" customWidth="1"/>
    <col min="4869" max="4869" width="8.42578125" style="149" customWidth="1"/>
    <col min="4870" max="4870" width="11" style="149" customWidth="1"/>
    <col min="4871" max="4871" width="9" style="149" customWidth="1"/>
    <col min="4872" max="4872" width="11.42578125" style="149" customWidth="1"/>
    <col min="4873" max="4873" width="12" style="149" customWidth="1"/>
    <col min="4874" max="5120" width="9.42578125" style="149" customWidth="1"/>
    <col min="5121" max="5121" width="16.42578125" style="149" customWidth="1"/>
    <col min="5122" max="5122" width="10.140625" style="149" customWidth="1"/>
    <col min="5123" max="5123" width="8.42578125" style="149" customWidth="1"/>
    <col min="5124" max="5124" width="10" style="149" customWidth="1"/>
    <col min="5125" max="5125" width="8.42578125" style="149" customWidth="1"/>
    <col min="5126" max="5126" width="11" style="149" customWidth="1"/>
    <col min="5127" max="5127" width="9" style="149" customWidth="1"/>
    <col min="5128" max="5128" width="11.42578125" style="149" customWidth="1"/>
    <col min="5129" max="5129" width="12" style="149" customWidth="1"/>
    <col min="5130" max="5376" width="9.42578125" style="149" customWidth="1"/>
    <col min="5377" max="5377" width="16.42578125" style="149" customWidth="1"/>
    <col min="5378" max="5378" width="10.140625" style="149" customWidth="1"/>
    <col min="5379" max="5379" width="8.42578125" style="149" customWidth="1"/>
    <col min="5380" max="5380" width="10" style="149" customWidth="1"/>
    <col min="5381" max="5381" width="8.42578125" style="149" customWidth="1"/>
    <col min="5382" max="5382" width="11" style="149" customWidth="1"/>
    <col min="5383" max="5383" width="9" style="149" customWidth="1"/>
    <col min="5384" max="5384" width="11.42578125" style="149" customWidth="1"/>
    <col min="5385" max="5385" width="12" style="149" customWidth="1"/>
    <col min="5386" max="5632" width="9.42578125" style="149" customWidth="1"/>
    <col min="5633" max="5633" width="16.42578125" style="149" customWidth="1"/>
    <col min="5634" max="5634" width="10.140625" style="149" customWidth="1"/>
    <col min="5635" max="5635" width="8.42578125" style="149" customWidth="1"/>
    <col min="5636" max="5636" width="10" style="149" customWidth="1"/>
    <col min="5637" max="5637" width="8.42578125" style="149" customWidth="1"/>
    <col min="5638" max="5638" width="11" style="149" customWidth="1"/>
    <col min="5639" max="5639" width="9" style="149" customWidth="1"/>
    <col min="5640" max="5640" width="11.42578125" style="149" customWidth="1"/>
    <col min="5641" max="5641" width="12" style="149" customWidth="1"/>
    <col min="5642" max="5888" width="9.42578125" style="149" customWidth="1"/>
    <col min="5889" max="5889" width="16.42578125" style="149" customWidth="1"/>
    <col min="5890" max="5890" width="10.140625" style="149" customWidth="1"/>
    <col min="5891" max="5891" width="8.42578125" style="149" customWidth="1"/>
    <col min="5892" max="5892" width="10" style="149" customWidth="1"/>
    <col min="5893" max="5893" width="8.42578125" style="149" customWidth="1"/>
    <col min="5894" max="5894" width="11" style="149" customWidth="1"/>
    <col min="5895" max="5895" width="9" style="149" customWidth="1"/>
    <col min="5896" max="5896" width="11.42578125" style="149" customWidth="1"/>
    <col min="5897" max="5897" width="12" style="149" customWidth="1"/>
    <col min="5898" max="6144" width="9.42578125" style="149" customWidth="1"/>
    <col min="6145" max="6145" width="16.42578125" style="149" customWidth="1"/>
    <col min="6146" max="6146" width="10.140625" style="149" customWidth="1"/>
    <col min="6147" max="6147" width="8.42578125" style="149" customWidth="1"/>
    <col min="6148" max="6148" width="10" style="149" customWidth="1"/>
    <col min="6149" max="6149" width="8.42578125" style="149" customWidth="1"/>
    <col min="6150" max="6150" width="11" style="149" customWidth="1"/>
    <col min="6151" max="6151" width="9" style="149" customWidth="1"/>
    <col min="6152" max="6152" width="11.42578125" style="149" customWidth="1"/>
    <col min="6153" max="6153" width="12" style="149" customWidth="1"/>
    <col min="6154" max="6400" width="9.42578125" style="149" customWidth="1"/>
    <col min="6401" max="6401" width="16.42578125" style="149" customWidth="1"/>
    <col min="6402" max="6402" width="10.140625" style="149" customWidth="1"/>
    <col min="6403" max="6403" width="8.42578125" style="149" customWidth="1"/>
    <col min="6404" max="6404" width="10" style="149" customWidth="1"/>
    <col min="6405" max="6405" width="8.42578125" style="149" customWidth="1"/>
    <col min="6406" max="6406" width="11" style="149" customWidth="1"/>
    <col min="6407" max="6407" width="9" style="149" customWidth="1"/>
    <col min="6408" max="6408" width="11.42578125" style="149" customWidth="1"/>
    <col min="6409" max="6409" width="12" style="149" customWidth="1"/>
    <col min="6410" max="6656" width="9.42578125" style="149" customWidth="1"/>
    <col min="6657" max="6657" width="16.42578125" style="149" customWidth="1"/>
    <col min="6658" max="6658" width="10.140625" style="149" customWidth="1"/>
    <col min="6659" max="6659" width="8.42578125" style="149" customWidth="1"/>
    <col min="6660" max="6660" width="10" style="149" customWidth="1"/>
    <col min="6661" max="6661" width="8.42578125" style="149" customWidth="1"/>
    <col min="6662" max="6662" width="11" style="149" customWidth="1"/>
    <col min="6663" max="6663" width="9" style="149" customWidth="1"/>
    <col min="6664" max="6664" width="11.42578125" style="149" customWidth="1"/>
    <col min="6665" max="6665" width="12" style="149" customWidth="1"/>
    <col min="6666" max="6912" width="9.42578125" style="149" customWidth="1"/>
    <col min="6913" max="6913" width="16.42578125" style="149" customWidth="1"/>
    <col min="6914" max="6914" width="10.140625" style="149" customWidth="1"/>
    <col min="6915" max="6915" width="8.42578125" style="149" customWidth="1"/>
    <col min="6916" max="6916" width="10" style="149" customWidth="1"/>
    <col min="6917" max="6917" width="8.42578125" style="149" customWidth="1"/>
    <col min="6918" max="6918" width="11" style="149" customWidth="1"/>
    <col min="6919" max="6919" width="9" style="149" customWidth="1"/>
    <col min="6920" max="6920" width="11.42578125" style="149" customWidth="1"/>
    <col min="6921" max="6921" width="12" style="149" customWidth="1"/>
    <col min="6922" max="7168" width="9.42578125" style="149" customWidth="1"/>
    <col min="7169" max="7169" width="16.42578125" style="149" customWidth="1"/>
    <col min="7170" max="7170" width="10.140625" style="149" customWidth="1"/>
    <col min="7171" max="7171" width="8.42578125" style="149" customWidth="1"/>
    <col min="7172" max="7172" width="10" style="149" customWidth="1"/>
    <col min="7173" max="7173" width="8.42578125" style="149" customWidth="1"/>
    <col min="7174" max="7174" width="11" style="149" customWidth="1"/>
    <col min="7175" max="7175" width="9" style="149" customWidth="1"/>
    <col min="7176" max="7176" width="11.42578125" style="149" customWidth="1"/>
    <col min="7177" max="7177" width="12" style="149" customWidth="1"/>
    <col min="7178" max="7424" width="9.42578125" style="149" customWidth="1"/>
    <col min="7425" max="7425" width="16.42578125" style="149" customWidth="1"/>
    <col min="7426" max="7426" width="10.140625" style="149" customWidth="1"/>
    <col min="7427" max="7427" width="8.42578125" style="149" customWidth="1"/>
    <col min="7428" max="7428" width="10" style="149" customWidth="1"/>
    <col min="7429" max="7429" width="8.42578125" style="149" customWidth="1"/>
    <col min="7430" max="7430" width="11" style="149" customWidth="1"/>
    <col min="7431" max="7431" width="9" style="149" customWidth="1"/>
    <col min="7432" max="7432" width="11.42578125" style="149" customWidth="1"/>
    <col min="7433" max="7433" width="12" style="149" customWidth="1"/>
    <col min="7434" max="7680" width="9.42578125" style="149" customWidth="1"/>
    <col min="7681" max="7681" width="16.42578125" style="149" customWidth="1"/>
    <col min="7682" max="7682" width="10.140625" style="149" customWidth="1"/>
    <col min="7683" max="7683" width="8.42578125" style="149" customWidth="1"/>
    <col min="7684" max="7684" width="10" style="149" customWidth="1"/>
    <col min="7685" max="7685" width="8.42578125" style="149" customWidth="1"/>
    <col min="7686" max="7686" width="11" style="149" customWidth="1"/>
    <col min="7687" max="7687" width="9" style="149" customWidth="1"/>
    <col min="7688" max="7688" width="11.42578125" style="149" customWidth="1"/>
    <col min="7689" max="7689" width="12" style="149" customWidth="1"/>
    <col min="7690" max="7936" width="9.42578125" style="149" customWidth="1"/>
    <col min="7937" max="7937" width="16.42578125" style="149" customWidth="1"/>
    <col min="7938" max="7938" width="10.140625" style="149" customWidth="1"/>
    <col min="7939" max="7939" width="8.42578125" style="149" customWidth="1"/>
    <col min="7940" max="7940" width="10" style="149" customWidth="1"/>
    <col min="7941" max="7941" width="8.42578125" style="149" customWidth="1"/>
    <col min="7942" max="7942" width="11" style="149" customWidth="1"/>
    <col min="7943" max="7943" width="9" style="149" customWidth="1"/>
    <col min="7944" max="7944" width="11.42578125" style="149" customWidth="1"/>
    <col min="7945" max="7945" width="12" style="149" customWidth="1"/>
    <col min="7946" max="8192" width="9.42578125" style="149" customWidth="1"/>
    <col min="8193" max="8193" width="16.42578125" style="149" customWidth="1"/>
    <col min="8194" max="8194" width="10.140625" style="149" customWidth="1"/>
    <col min="8195" max="8195" width="8.42578125" style="149" customWidth="1"/>
    <col min="8196" max="8196" width="10" style="149" customWidth="1"/>
    <col min="8197" max="8197" width="8.42578125" style="149" customWidth="1"/>
    <col min="8198" max="8198" width="11" style="149" customWidth="1"/>
    <col min="8199" max="8199" width="9" style="149" customWidth="1"/>
    <col min="8200" max="8200" width="11.42578125" style="149" customWidth="1"/>
    <col min="8201" max="8201" width="12" style="149" customWidth="1"/>
    <col min="8202" max="8448" width="9.42578125" style="149" customWidth="1"/>
    <col min="8449" max="8449" width="16.42578125" style="149" customWidth="1"/>
    <col min="8450" max="8450" width="10.140625" style="149" customWidth="1"/>
    <col min="8451" max="8451" width="8.42578125" style="149" customWidth="1"/>
    <col min="8452" max="8452" width="10" style="149" customWidth="1"/>
    <col min="8453" max="8453" width="8.42578125" style="149" customWidth="1"/>
    <col min="8454" max="8454" width="11" style="149" customWidth="1"/>
    <col min="8455" max="8455" width="9" style="149" customWidth="1"/>
    <col min="8456" max="8456" width="11.42578125" style="149" customWidth="1"/>
    <col min="8457" max="8457" width="12" style="149" customWidth="1"/>
    <col min="8458" max="8704" width="9.42578125" style="149" customWidth="1"/>
    <col min="8705" max="8705" width="16.42578125" style="149" customWidth="1"/>
    <col min="8706" max="8706" width="10.140625" style="149" customWidth="1"/>
    <col min="8707" max="8707" width="8.42578125" style="149" customWidth="1"/>
    <col min="8708" max="8708" width="10" style="149" customWidth="1"/>
    <col min="8709" max="8709" width="8.42578125" style="149" customWidth="1"/>
    <col min="8710" max="8710" width="11" style="149" customWidth="1"/>
    <col min="8711" max="8711" width="9" style="149" customWidth="1"/>
    <col min="8712" max="8712" width="11.42578125" style="149" customWidth="1"/>
    <col min="8713" max="8713" width="12" style="149" customWidth="1"/>
    <col min="8714" max="8960" width="9.42578125" style="149" customWidth="1"/>
    <col min="8961" max="8961" width="16.42578125" style="149" customWidth="1"/>
    <col min="8962" max="8962" width="10.140625" style="149" customWidth="1"/>
    <col min="8963" max="8963" width="8.42578125" style="149" customWidth="1"/>
    <col min="8964" max="8964" width="10" style="149" customWidth="1"/>
    <col min="8965" max="8965" width="8.42578125" style="149" customWidth="1"/>
    <col min="8966" max="8966" width="11" style="149" customWidth="1"/>
    <col min="8967" max="8967" width="9" style="149" customWidth="1"/>
    <col min="8968" max="8968" width="11.42578125" style="149" customWidth="1"/>
    <col min="8969" max="8969" width="12" style="149" customWidth="1"/>
    <col min="8970" max="9216" width="9.42578125" style="149" customWidth="1"/>
    <col min="9217" max="9217" width="16.42578125" style="149" customWidth="1"/>
    <col min="9218" max="9218" width="10.140625" style="149" customWidth="1"/>
    <col min="9219" max="9219" width="8.42578125" style="149" customWidth="1"/>
    <col min="9220" max="9220" width="10" style="149" customWidth="1"/>
    <col min="9221" max="9221" width="8.42578125" style="149" customWidth="1"/>
    <col min="9222" max="9222" width="11" style="149" customWidth="1"/>
    <col min="9223" max="9223" width="9" style="149" customWidth="1"/>
    <col min="9224" max="9224" width="11.42578125" style="149" customWidth="1"/>
    <col min="9225" max="9225" width="12" style="149" customWidth="1"/>
    <col min="9226" max="9472" width="9.42578125" style="149" customWidth="1"/>
    <col min="9473" max="9473" width="16.42578125" style="149" customWidth="1"/>
    <col min="9474" max="9474" width="10.140625" style="149" customWidth="1"/>
    <col min="9475" max="9475" width="8.42578125" style="149" customWidth="1"/>
    <col min="9476" max="9476" width="10" style="149" customWidth="1"/>
    <col min="9477" max="9477" width="8.42578125" style="149" customWidth="1"/>
    <col min="9478" max="9478" width="11" style="149" customWidth="1"/>
    <col min="9479" max="9479" width="9" style="149" customWidth="1"/>
    <col min="9480" max="9480" width="11.42578125" style="149" customWidth="1"/>
    <col min="9481" max="9481" width="12" style="149" customWidth="1"/>
    <col min="9482" max="9728" width="9.42578125" style="149" customWidth="1"/>
    <col min="9729" max="9729" width="16.42578125" style="149" customWidth="1"/>
    <col min="9730" max="9730" width="10.140625" style="149" customWidth="1"/>
    <col min="9731" max="9731" width="8.42578125" style="149" customWidth="1"/>
    <col min="9732" max="9732" width="10" style="149" customWidth="1"/>
    <col min="9733" max="9733" width="8.42578125" style="149" customWidth="1"/>
    <col min="9734" max="9734" width="11" style="149" customWidth="1"/>
    <col min="9735" max="9735" width="9" style="149" customWidth="1"/>
    <col min="9736" max="9736" width="11.42578125" style="149" customWidth="1"/>
    <col min="9737" max="9737" width="12" style="149" customWidth="1"/>
    <col min="9738" max="9984" width="9.42578125" style="149" customWidth="1"/>
    <col min="9985" max="9985" width="16.42578125" style="149" customWidth="1"/>
    <col min="9986" max="9986" width="10.140625" style="149" customWidth="1"/>
    <col min="9987" max="9987" width="8.42578125" style="149" customWidth="1"/>
    <col min="9988" max="9988" width="10" style="149" customWidth="1"/>
    <col min="9989" max="9989" width="8.42578125" style="149" customWidth="1"/>
    <col min="9990" max="9990" width="11" style="149" customWidth="1"/>
    <col min="9991" max="9991" width="9" style="149" customWidth="1"/>
    <col min="9992" max="9992" width="11.42578125" style="149" customWidth="1"/>
    <col min="9993" max="9993" width="12" style="149" customWidth="1"/>
    <col min="9994" max="10240" width="9.42578125" style="149" customWidth="1"/>
    <col min="10241" max="10241" width="16.42578125" style="149" customWidth="1"/>
    <col min="10242" max="10242" width="10.140625" style="149" customWidth="1"/>
    <col min="10243" max="10243" width="8.42578125" style="149" customWidth="1"/>
    <col min="10244" max="10244" width="10" style="149" customWidth="1"/>
    <col min="10245" max="10245" width="8.42578125" style="149" customWidth="1"/>
    <col min="10246" max="10246" width="11" style="149" customWidth="1"/>
    <col min="10247" max="10247" width="9" style="149" customWidth="1"/>
    <col min="10248" max="10248" width="11.42578125" style="149" customWidth="1"/>
    <col min="10249" max="10249" width="12" style="149" customWidth="1"/>
    <col min="10250" max="10496" width="9.42578125" style="149" customWidth="1"/>
    <col min="10497" max="10497" width="16.42578125" style="149" customWidth="1"/>
    <col min="10498" max="10498" width="10.140625" style="149" customWidth="1"/>
    <col min="10499" max="10499" width="8.42578125" style="149" customWidth="1"/>
    <col min="10500" max="10500" width="10" style="149" customWidth="1"/>
    <col min="10501" max="10501" width="8.42578125" style="149" customWidth="1"/>
    <col min="10502" max="10502" width="11" style="149" customWidth="1"/>
    <col min="10503" max="10503" width="9" style="149" customWidth="1"/>
    <col min="10504" max="10504" width="11.42578125" style="149" customWidth="1"/>
    <col min="10505" max="10505" width="12" style="149" customWidth="1"/>
    <col min="10506" max="10752" width="9.42578125" style="149" customWidth="1"/>
    <col min="10753" max="10753" width="16.42578125" style="149" customWidth="1"/>
    <col min="10754" max="10754" width="10.140625" style="149" customWidth="1"/>
    <col min="10755" max="10755" width="8.42578125" style="149" customWidth="1"/>
    <col min="10756" max="10756" width="10" style="149" customWidth="1"/>
    <col min="10757" max="10757" width="8.42578125" style="149" customWidth="1"/>
    <col min="10758" max="10758" width="11" style="149" customWidth="1"/>
    <col min="10759" max="10759" width="9" style="149" customWidth="1"/>
    <col min="10760" max="10760" width="11.42578125" style="149" customWidth="1"/>
    <col min="10761" max="10761" width="12" style="149" customWidth="1"/>
    <col min="10762" max="11008" width="9.42578125" style="149" customWidth="1"/>
    <col min="11009" max="11009" width="16.42578125" style="149" customWidth="1"/>
    <col min="11010" max="11010" width="10.140625" style="149" customWidth="1"/>
    <col min="11011" max="11011" width="8.42578125" style="149" customWidth="1"/>
    <col min="11012" max="11012" width="10" style="149" customWidth="1"/>
    <col min="11013" max="11013" width="8.42578125" style="149" customWidth="1"/>
    <col min="11014" max="11014" width="11" style="149" customWidth="1"/>
    <col min="11015" max="11015" width="9" style="149" customWidth="1"/>
    <col min="11016" max="11016" width="11.42578125" style="149" customWidth="1"/>
    <col min="11017" max="11017" width="12" style="149" customWidth="1"/>
    <col min="11018" max="11264" width="9.42578125" style="149" customWidth="1"/>
    <col min="11265" max="11265" width="16.42578125" style="149" customWidth="1"/>
    <col min="11266" max="11266" width="10.140625" style="149" customWidth="1"/>
    <col min="11267" max="11267" width="8.42578125" style="149" customWidth="1"/>
    <col min="11268" max="11268" width="10" style="149" customWidth="1"/>
    <col min="11269" max="11269" width="8.42578125" style="149" customWidth="1"/>
    <col min="11270" max="11270" width="11" style="149" customWidth="1"/>
    <col min="11271" max="11271" width="9" style="149" customWidth="1"/>
    <col min="11272" max="11272" width="11.42578125" style="149" customWidth="1"/>
    <col min="11273" max="11273" width="12" style="149" customWidth="1"/>
    <col min="11274" max="11520" width="9.42578125" style="149" customWidth="1"/>
    <col min="11521" max="11521" width="16.42578125" style="149" customWidth="1"/>
    <col min="11522" max="11522" width="10.140625" style="149" customWidth="1"/>
    <col min="11523" max="11523" width="8.42578125" style="149" customWidth="1"/>
    <col min="11524" max="11524" width="10" style="149" customWidth="1"/>
    <col min="11525" max="11525" width="8.42578125" style="149" customWidth="1"/>
    <col min="11526" max="11526" width="11" style="149" customWidth="1"/>
    <col min="11527" max="11527" width="9" style="149" customWidth="1"/>
    <col min="11528" max="11528" width="11.42578125" style="149" customWidth="1"/>
    <col min="11529" max="11529" width="12" style="149" customWidth="1"/>
    <col min="11530" max="11776" width="9.42578125" style="149" customWidth="1"/>
    <col min="11777" max="11777" width="16.42578125" style="149" customWidth="1"/>
    <col min="11778" max="11778" width="10.140625" style="149" customWidth="1"/>
    <col min="11779" max="11779" width="8.42578125" style="149" customWidth="1"/>
    <col min="11780" max="11780" width="10" style="149" customWidth="1"/>
    <col min="11781" max="11781" width="8.42578125" style="149" customWidth="1"/>
    <col min="11782" max="11782" width="11" style="149" customWidth="1"/>
    <col min="11783" max="11783" width="9" style="149" customWidth="1"/>
    <col min="11784" max="11784" width="11.42578125" style="149" customWidth="1"/>
    <col min="11785" max="11785" width="12" style="149" customWidth="1"/>
    <col min="11786" max="12032" width="9.42578125" style="149" customWidth="1"/>
    <col min="12033" max="12033" width="16.42578125" style="149" customWidth="1"/>
    <col min="12034" max="12034" width="10.140625" style="149" customWidth="1"/>
    <col min="12035" max="12035" width="8.42578125" style="149" customWidth="1"/>
    <col min="12036" max="12036" width="10" style="149" customWidth="1"/>
    <col min="12037" max="12037" width="8.42578125" style="149" customWidth="1"/>
    <col min="12038" max="12038" width="11" style="149" customWidth="1"/>
    <col min="12039" max="12039" width="9" style="149" customWidth="1"/>
    <col min="12040" max="12040" width="11.42578125" style="149" customWidth="1"/>
    <col min="12041" max="12041" width="12" style="149" customWidth="1"/>
    <col min="12042" max="12288" width="9.42578125" style="149" customWidth="1"/>
    <col min="12289" max="12289" width="16.42578125" style="149" customWidth="1"/>
    <col min="12290" max="12290" width="10.140625" style="149" customWidth="1"/>
    <col min="12291" max="12291" width="8.42578125" style="149" customWidth="1"/>
    <col min="12292" max="12292" width="10" style="149" customWidth="1"/>
    <col min="12293" max="12293" width="8.42578125" style="149" customWidth="1"/>
    <col min="12294" max="12294" width="11" style="149" customWidth="1"/>
    <col min="12295" max="12295" width="9" style="149" customWidth="1"/>
    <col min="12296" max="12296" width="11.42578125" style="149" customWidth="1"/>
    <col min="12297" max="12297" width="12" style="149" customWidth="1"/>
    <col min="12298" max="12544" width="9.42578125" style="149" customWidth="1"/>
    <col min="12545" max="12545" width="16.42578125" style="149" customWidth="1"/>
    <col min="12546" max="12546" width="10.140625" style="149" customWidth="1"/>
    <col min="12547" max="12547" width="8.42578125" style="149" customWidth="1"/>
    <col min="12548" max="12548" width="10" style="149" customWidth="1"/>
    <col min="12549" max="12549" width="8.42578125" style="149" customWidth="1"/>
    <col min="12550" max="12550" width="11" style="149" customWidth="1"/>
    <col min="12551" max="12551" width="9" style="149" customWidth="1"/>
    <col min="12552" max="12552" width="11.42578125" style="149" customWidth="1"/>
    <col min="12553" max="12553" width="12" style="149" customWidth="1"/>
    <col min="12554" max="12800" width="9.42578125" style="149" customWidth="1"/>
    <col min="12801" max="12801" width="16.42578125" style="149" customWidth="1"/>
    <col min="12802" max="12802" width="10.140625" style="149" customWidth="1"/>
    <col min="12803" max="12803" width="8.42578125" style="149" customWidth="1"/>
    <col min="12804" max="12804" width="10" style="149" customWidth="1"/>
    <col min="12805" max="12805" width="8.42578125" style="149" customWidth="1"/>
    <col min="12806" max="12806" width="11" style="149" customWidth="1"/>
    <col min="12807" max="12807" width="9" style="149" customWidth="1"/>
    <col min="12808" max="12808" width="11.42578125" style="149" customWidth="1"/>
    <col min="12809" max="12809" width="12" style="149" customWidth="1"/>
    <col min="12810" max="13056" width="9.42578125" style="149" customWidth="1"/>
    <col min="13057" max="13057" width="16.42578125" style="149" customWidth="1"/>
    <col min="13058" max="13058" width="10.140625" style="149" customWidth="1"/>
    <col min="13059" max="13059" width="8.42578125" style="149" customWidth="1"/>
    <col min="13060" max="13060" width="10" style="149" customWidth="1"/>
    <col min="13061" max="13061" width="8.42578125" style="149" customWidth="1"/>
    <col min="13062" max="13062" width="11" style="149" customWidth="1"/>
    <col min="13063" max="13063" width="9" style="149" customWidth="1"/>
    <col min="13064" max="13064" width="11.42578125" style="149" customWidth="1"/>
    <col min="13065" max="13065" width="12" style="149" customWidth="1"/>
    <col min="13066" max="13312" width="9.42578125" style="149" customWidth="1"/>
    <col min="13313" max="13313" width="16.42578125" style="149" customWidth="1"/>
    <col min="13314" max="13314" width="10.140625" style="149" customWidth="1"/>
    <col min="13315" max="13315" width="8.42578125" style="149" customWidth="1"/>
    <col min="13316" max="13316" width="10" style="149" customWidth="1"/>
    <col min="13317" max="13317" width="8.42578125" style="149" customWidth="1"/>
    <col min="13318" max="13318" width="11" style="149" customWidth="1"/>
    <col min="13319" max="13319" width="9" style="149" customWidth="1"/>
    <col min="13320" max="13320" width="11.42578125" style="149" customWidth="1"/>
    <col min="13321" max="13321" width="12" style="149" customWidth="1"/>
    <col min="13322" max="13568" width="9.42578125" style="149" customWidth="1"/>
    <col min="13569" max="13569" width="16.42578125" style="149" customWidth="1"/>
    <col min="13570" max="13570" width="10.140625" style="149" customWidth="1"/>
    <col min="13571" max="13571" width="8.42578125" style="149" customWidth="1"/>
    <col min="13572" max="13572" width="10" style="149" customWidth="1"/>
    <col min="13573" max="13573" width="8.42578125" style="149" customWidth="1"/>
    <col min="13574" max="13574" width="11" style="149" customWidth="1"/>
    <col min="13575" max="13575" width="9" style="149" customWidth="1"/>
    <col min="13576" max="13576" width="11.42578125" style="149" customWidth="1"/>
    <col min="13577" max="13577" width="12" style="149" customWidth="1"/>
    <col min="13578" max="13824" width="9.42578125" style="149" customWidth="1"/>
    <col min="13825" max="13825" width="16.42578125" style="149" customWidth="1"/>
    <col min="13826" max="13826" width="10.140625" style="149" customWidth="1"/>
    <col min="13827" max="13827" width="8.42578125" style="149" customWidth="1"/>
    <col min="13828" max="13828" width="10" style="149" customWidth="1"/>
    <col min="13829" max="13829" width="8.42578125" style="149" customWidth="1"/>
    <col min="13830" max="13830" width="11" style="149" customWidth="1"/>
    <col min="13831" max="13831" width="9" style="149" customWidth="1"/>
    <col min="13832" max="13832" width="11.42578125" style="149" customWidth="1"/>
    <col min="13833" max="13833" width="12" style="149" customWidth="1"/>
    <col min="13834" max="14080" width="9.42578125" style="149" customWidth="1"/>
    <col min="14081" max="14081" width="16.42578125" style="149" customWidth="1"/>
    <col min="14082" max="14082" width="10.140625" style="149" customWidth="1"/>
    <col min="14083" max="14083" width="8.42578125" style="149" customWidth="1"/>
    <col min="14084" max="14084" width="10" style="149" customWidth="1"/>
    <col min="14085" max="14085" width="8.42578125" style="149" customWidth="1"/>
    <col min="14086" max="14086" width="11" style="149" customWidth="1"/>
    <col min="14087" max="14087" width="9" style="149" customWidth="1"/>
    <col min="14088" max="14088" width="11.42578125" style="149" customWidth="1"/>
    <col min="14089" max="14089" width="12" style="149" customWidth="1"/>
    <col min="14090" max="14336" width="9.42578125" style="149" customWidth="1"/>
    <col min="14337" max="14337" width="16.42578125" style="149" customWidth="1"/>
    <col min="14338" max="14338" width="10.140625" style="149" customWidth="1"/>
    <col min="14339" max="14339" width="8.42578125" style="149" customWidth="1"/>
    <col min="14340" max="14340" width="10" style="149" customWidth="1"/>
    <col min="14341" max="14341" width="8.42578125" style="149" customWidth="1"/>
    <col min="14342" max="14342" width="11" style="149" customWidth="1"/>
    <col min="14343" max="14343" width="9" style="149" customWidth="1"/>
    <col min="14344" max="14344" width="11.42578125" style="149" customWidth="1"/>
    <col min="14345" max="14345" width="12" style="149" customWidth="1"/>
    <col min="14346" max="14592" width="9.42578125" style="149" customWidth="1"/>
    <col min="14593" max="14593" width="16.42578125" style="149" customWidth="1"/>
    <col min="14594" max="14594" width="10.140625" style="149" customWidth="1"/>
    <col min="14595" max="14595" width="8.42578125" style="149" customWidth="1"/>
    <col min="14596" max="14596" width="10" style="149" customWidth="1"/>
    <col min="14597" max="14597" width="8.42578125" style="149" customWidth="1"/>
    <col min="14598" max="14598" width="11" style="149" customWidth="1"/>
    <col min="14599" max="14599" width="9" style="149" customWidth="1"/>
    <col min="14600" max="14600" width="11.42578125" style="149" customWidth="1"/>
    <col min="14601" max="14601" width="12" style="149" customWidth="1"/>
    <col min="14602" max="14848" width="9.42578125" style="149" customWidth="1"/>
    <col min="14849" max="14849" width="16.42578125" style="149" customWidth="1"/>
    <col min="14850" max="14850" width="10.140625" style="149" customWidth="1"/>
    <col min="14851" max="14851" width="8.42578125" style="149" customWidth="1"/>
    <col min="14852" max="14852" width="10" style="149" customWidth="1"/>
    <col min="14853" max="14853" width="8.42578125" style="149" customWidth="1"/>
    <col min="14854" max="14854" width="11" style="149" customWidth="1"/>
    <col min="14855" max="14855" width="9" style="149" customWidth="1"/>
    <col min="14856" max="14856" width="11.42578125" style="149" customWidth="1"/>
    <col min="14857" max="14857" width="12" style="149" customWidth="1"/>
    <col min="14858" max="15104" width="9.42578125" style="149" customWidth="1"/>
    <col min="15105" max="15105" width="16.42578125" style="149" customWidth="1"/>
    <col min="15106" max="15106" width="10.140625" style="149" customWidth="1"/>
    <col min="15107" max="15107" width="8.42578125" style="149" customWidth="1"/>
    <col min="15108" max="15108" width="10" style="149" customWidth="1"/>
    <col min="15109" max="15109" width="8.42578125" style="149" customWidth="1"/>
    <col min="15110" max="15110" width="11" style="149" customWidth="1"/>
    <col min="15111" max="15111" width="9" style="149" customWidth="1"/>
    <col min="15112" max="15112" width="11.42578125" style="149" customWidth="1"/>
    <col min="15113" max="15113" width="12" style="149" customWidth="1"/>
    <col min="15114" max="15360" width="9.42578125" style="149" customWidth="1"/>
    <col min="15361" max="15361" width="16.42578125" style="149" customWidth="1"/>
    <col min="15362" max="15362" width="10.140625" style="149" customWidth="1"/>
    <col min="15363" max="15363" width="8.42578125" style="149" customWidth="1"/>
    <col min="15364" max="15364" width="10" style="149" customWidth="1"/>
    <col min="15365" max="15365" width="8.42578125" style="149" customWidth="1"/>
    <col min="15366" max="15366" width="11" style="149" customWidth="1"/>
    <col min="15367" max="15367" width="9" style="149" customWidth="1"/>
    <col min="15368" max="15368" width="11.42578125" style="149" customWidth="1"/>
    <col min="15369" max="15369" width="12" style="149" customWidth="1"/>
    <col min="15370" max="15616" width="9.42578125" style="149" customWidth="1"/>
    <col min="15617" max="15617" width="16.42578125" style="149" customWidth="1"/>
    <col min="15618" max="15618" width="10.140625" style="149" customWidth="1"/>
    <col min="15619" max="15619" width="8.42578125" style="149" customWidth="1"/>
    <col min="15620" max="15620" width="10" style="149" customWidth="1"/>
    <col min="15621" max="15621" width="8.42578125" style="149" customWidth="1"/>
    <col min="15622" max="15622" width="11" style="149" customWidth="1"/>
    <col min="15623" max="15623" width="9" style="149" customWidth="1"/>
    <col min="15624" max="15624" width="11.42578125" style="149" customWidth="1"/>
    <col min="15625" max="15625" width="12" style="149" customWidth="1"/>
    <col min="15626" max="15872" width="9.42578125" style="149" customWidth="1"/>
    <col min="15873" max="15873" width="16.42578125" style="149" customWidth="1"/>
    <col min="15874" max="15874" width="10.140625" style="149" customWidth="1"/>
    <col min="15875" max="15875" width="8.42578125" style="149" customWidth="1"/>
    <col min="15876" max="15876" width="10" style="149" customWidth="1"/>
    <col min="15877" max="15877" width="8.42578125" style="149" customWidth="1"/>
    <col min="15878" max="15878" width="11" style="149" customWidth="1"/>
    <col min="15879" max="15879" width="9" style="149" customWidth="1"/>
    <col min="15880" max="15880" width="11.42578125" style="149" customWidth="1"/>
    <col min="15881" max="15881" width="12" style="149" customWidth="1"/>
    <col min="15882" max="16128" width="9.42578125" style="149" customWidth="1"/>
    <col min="16129" max="16129" width="16.42578125" style="149" customWidth="1"/>
    <col min="16130" max="16130" width="10.140625" style="149" customWidth="1"/>
    <col min="16131" max="16131" width="8.42578125" style="149" customWidth="1"/>
    <col min="16132" max="16132" width="10" style="149" customWidth="1"/>
    <col min="16133" max="16133" width="8.42578125" style="149" customWidth="1"/>
    <col min="16134" max="16134" width="11" style="149" customWidth="1"/>
    <col min="16135" max="16135" width="9" style="149" customWidth="1"/>
    <col min="16136" max="16136" width="11.42578125" style="149" customWidth="1"/>
    <col min="16137" max="16137" width="12" style="149" customWidth="1"/>
    <col min="16138" max="16384" width="9.42578125" style="149" customWidth="1"/>
  </cols>
  <sheetData>
    <row r="1" spans="1:12" customFormat="1" ht="15" x14ac:dyDescent="0.25">
      <c r="A1" s="455"/>
      <c r="B1" s="459"/>
      <c r="C1" s="459"/>
      <c r="D1" s="459"/>
      <c r="E1" s="459"/>
      <c r="F1" s="459"/>
      <c r="G1" s="459"/>
      <c r="H1" s="459"/>
      <c r="I1" s="459"/>
      <c r="J1" s="459"/>
      <c r="K1" s="455"/>
      <c r="L1" s="455"/>
    </row>
    <row r="2" spans="1:12" customFormat="1" ht="15" x14ac:dyDescent="0.25">
      <c r="A2" s="455"/>
      <c r="B2" s="459"/>
      <c r="C2" s="459"/>
      <c r="D2" s="459"/>
      <c r="E2" s="459"/>
      <c r="F2" s="459"/>
      <c r="G2" s="459"/>
      <c r="H2" s="459"/>
      <c r="I2" s="459"/>
      <c r="J2" s="460" t="s">
        <v>143</v>
      </c>
      <c r="K2" s="455"/>
      <c r="L2" s="455"/>
    </row>
    <row r="3" spans="1:12" customFormat="1" ht="20.25" x14ac:dyDescent="0.3">
      <c r="A3" s="455"/>
      <c r="B3" s="796" t="s">
        <v>144</v>
      </c>
      <c r="C3" s="796"/>
      <c r="D3" s="796"/>
      <c r="E3" s="796"/>
      <c r="F3" s="796"/>
      <c r="G3" s="796"/>
      <c r="H3" s="796"/>
      <c r="I3" s="796"/>
      <c r="J3" s="461"/>
      <c r="K3" s="455"/>
      <c r="L3" s="455"/>
    </row>
    <row r="4" spans="1:12" customFormat="1" ht="15" x14ac:dyDescent="0.25">
      <c r="A4" s="455"/>
      <c r="B4" s="459"/>
      <c r="C4" s="459"/>
      <c r="D4" s="459"/>
      <c r="E4" s="459"/>
      <c r="F4" s="459"/>
      <c r="G4" s="459"/>
      <c r="H4" s="459"/>
      <c r="I4" s="459"/>
      <c r="J4" s="459"/>
      <c r="K4" s="455"/>
      <c r="L4" s="455"/>
    </row>
    <row r="5" spans="1:12" customFormat="1" ht="15" x14ac:dyDescent="0.25">
      <c r="A5" s="455"/>
      <c r="B5" s="462" t="s">
        <v>145</v>
      </c>
      <c r="C5" s="463"/>
      <c r="D5" s="463"/>
      <c r="E5" s="459"/>
      <c r="F5" s="459"/>
      <c r="G5" s="459"/>
      <c r="H5" s="459"/>
      <c r="I5" s="459"/>
      <c r="J5" s="459"/>
      <c r="K5" s="455"/>
      <c r="L5" s="455"/>
    </row>
    <row r="6" spans="1:12" s="697" customFormat="1" ht="15.75" thickBot="1" x14ac:dyDescent="0.3">
      <c r="B6" s="459"/>
      <c r="C6" s="459"/>
      <c r="D6" s="459"/>
      <c r="E6" s="459"/>
      <c r="F6" s="459"/>
      <c r="G6" s="459"/>
      <c r="H6" s="461"/>
      <c r="I6" s="461"/>
      <c r="J6" s="460"/>
    </row>
    <row r="7" spans="1:12" s="697" customFormat="1" ht="15" x14ac:dyDescent="0.25">
      <c r="B7" s="801" t="s">
        <v>146</v>
      </c>
      <c r="C7" s="804" t="s">
        <v>147</v>
      </c>
      <c r="D7" s="804" t="s">
        <v>148</v>
      </c>
      <c r="E7" s="799" t="s">
        <v>56</v>
      </c>
      <c r="F7" s="799"/>
      <c r="G7" s="799"/>
      <c r="H7" s="799"/>
      <c r="I7" s="799"/>
      <c r="J7" s="800"/>
    </row>
    <row r="8" spans="1:12" customFormat="1" ht="12.95" customHeight="1" x14ac:dyDescent="0.25">
      <c r="A8" s="455"/>
      <c r="B8" s="802"/>
      <c r="C8" s="805"/>
      <c r="D8" s="805"/>
      <c r="E8" s="797">
        <v>610</v>
      </c>
      <c r="F8" s="797">
        <v>620</v>
      </c>
      <c r="G8" s="797">
        <v>630</v>
      </c>
      <c r="H8" s="797">
        <v>640</v>
      </c>
      <c r="I8" s="797">
        <v>700</v>
      </c>
      <c r="J8" s="807" t="s">
        <v>125</v>
      </c>
      <c r="K8" s="455"/>
      <c r="L8" s="455"/>
    </row>
    <row r="9" spans="1:12" customFormat="1" ht="15.75" thickBot="1" x14ac:dyDescent="0.3">
      <c r="A9" s="455"/>
      <c r="B9" s="803"/>
      <c r="C9" s="806"/>
      <c r="D9" s="806"/>
      <c r="E9" s="798"/>
      <c r="F9" s="798"/>
      <c r="G9" s="798"/>
      <c r="H9" s="798"/>
      <c r="I9" s="798"/>
      <c r="J9" s="808"/>
      <c r="K9" s="455"/>
      <c r="L9" s="455"/>
    </row>
    <row r="10" spans="1:12" customFormat="1" ht="15.75" thickTop="1" x14ac:dyDescent="0.25">
      <c r="A10" s="455"/>
      <c r="B10" s="464" t="s">
        <v>149</v>
      </c>
      <c r="C10" s="465">
        <v>67</v>
      </c>
      <c r="D10" s="466">
        <v>21576.48</v>
      </c>
      <c r="E10" s="510">
        <v>105935.75</v>
      </c>
      <c r="F10" s="510">
        <v>37560.32</v>
      </c>
      <c r="G10" s="510">
        <v>30279.73</v>
      </c>
      <c r="H10" s="510">
        <v>370</v>
      </c>
      <c r="I10" s="467">
        <v>0</v>
      </c>
      <c r="J10" s="468">
        <v>174145.80000000002</v>
      </c>
      <c r="K10" s="455"/>
      <c r="L10" s="455"/>
    </row>
    <row r="11" spans="1:12" customFormat="1" ht="15" x14ac:dyDescent="0.25">
      <c r="A11" s="455"/>
      <c r="B11" s="469" t="s">
        <v>150</v>
      </c>
      <c r="C11" s="470">
        <v>112</v>
      </c>
      <c r="D11" s="499">
        <v>34086.519999999997</v>
      </c>
      <c r="E11" s="472">
        <v>186669.29</v>
      </c>
      <c r="F11" s="472">
        <v>64726.47</v>
      </c>
      <c r="G11" s="472">
        <v>53189.55</v>
      </c>
      <c r="H11" s="472">
        <v>348</v>
      </c>
      <c r="I11" s="473">
        <v>0</v>
      </c>
      <c r="J11" s="474">
        <v>304933.31</v>
      </c>
      <c r="K11" s="455"/>
      <c r="L11" s="455"/>
    </row>
    <row r="12" spans="1:12" customFormat="1" ht="15" x14ac:dyDescent="0.25">
      <c r="A12" s="455"/>
      <c r="B12" s="469" t="s">
        <v>151</v>
      </c>
      <c r="C12" s="470">
        <v>71</v>
      </c>
      <c r="D12" s="471">
        <v>20462.07</v>
      </c>
      <c r="E12" s="472">
        <v>100986.83</v>
      </c>
      <c r="F12" s="472">
        <v>37169.79</v>
      </c>
      <c r="G12" s="472">
        <v>41932.46</v>
      </c>
      <c r="H12" s="472">
        <v>323</v>
      </c>
      <c r="I12" s="473">
        <v>0</v>
      </c>
      <c r="J12" s="474">
        <v>180412.08</v>
      </c>
      <c r="K12" s="455"/>
      <c r="L12" s="455"/>
    </row>
    <row r="13" spans="1:12" customFormat="1" ht="15" x14ac:dyDescent="0.25">
      <c r="A13" s="455"/>
      <c r="B13" s="469" t="s">
        <v>152</v>
      </c>
      <c r="C13" s="470">
        <v>87</v>
      </c>
      <c r="D13" s="471">
        <v>28594</v>
      </c>
      <c r="E13" s="472">
        <v>125854.63</v>
      </c>
      <c r="F13" s="472">
        <v>46287.78</v>
      </c>
      <c r="G13" s="472">
        <v>52720.239999999991</v>
      </c>
      <c r="H13" s="472">
        <v>2310</v>
      </c>
      <c r="I13" s="473">
        <v>0</v>
      </c>
      <c r="J13" s="474">
        <v>227172.65</v>
      </c>
      <c r="K13" s="455"/>
      <c r="L13" s="455"/>
    </row>
    <row r="14" spans="1:12" customFormat="1" ht="15" x14ac:dyDescent="0.25">
      <c r="A14" s="455"/>
      <c r="B14" s="469" t="s">
        <v>153</v>
      </c>
      <c r="C14" s="470">
        <v>74</v>
      </c>
      <c r="D14" s="471">
        <v>20681.21</v>
      </c>
      <c r="E14" s="472">
        <v>128833.4</v>
      </c>
      <c r="F14" s="472">
        <v>46579.26</v>
      </c>
      <c r="G14" s="472">
        <v>47312.259999999995</v>
      </c>
      <c r="H14" s="472">
        <v>159</v>
      </c>
      <c r="I14" s="473">
        <v>0</v>
      </c>
      <c r="J14" s="474">
        <v>222883.91999999998</v>
      </c>
      <c r="K14" s="455"/>
      <c r="L14" s="455"/>
    </row>
    <row r="15" spans="1:12" customFormat="1" ht="15" x14ac:dyDescent="0.25">
      <c r="A15" s="455"/>
      <c r="B15" s="469" t="s">
        <v>154</v>
      </c>
      <c r="C15" s="470">
        <v>128</v>
      </c>
      <c r="D15" s="471">
        <v>37561.78</v>
      </c>
      <c r="E15" s="472">
        <v>189255.96</v>
      </c>
      <c r="F15" s="472">
        <v>68260.490000000005</v>
      </c>
      <c r="G15" s="472">
        <v>57678.080000000002</v>
      </c>
      <c r="H15" s="472">
        <v>2352</v>
      </c>
      <c r="I15" s="473">
        <v>0</v>
      </c>
      <c r="J15" s="474">
        <v>317546.53000000003</v>
      </c>
      <c r="K15" s="455"/>
      <c r="L15" s="455"/>
    </row>
    <row r="16" spans="1:12" customFormat="1" ht="15" x14ac:dyDescent="0.25">
      <c r="A16" s="455"/>
      <c r="B16" s="469" t="s">
        <v>155</v>
      </c>
      <c r="C16" s="470">
        <v>141</v>
      </c>
      <c r="D16" s="471">
        <v>43490.14</v>
      </c>
      <c r="E16" s="472">
        <v>188399.42</v>
      </c>
      <c r="F16" s="472">
        <v>67901.490000000005</v>
      </c>
      <c r="G16" s="472">
        <v>72802.75</v>
      </c>
      <c r="H16" s="472">
        <v>2814</v>
      </c>
      <c r="I16" s="473">
        <v>0</v>
      </c>
      <c r="J16" s="474">
        <v>331917.66000000003</v>
      </c>
      <c r="K16" s="455"/>
      <c r="L16" s="455"/>
    </row>
    <row r="17" spans="1:12" customFormat="1" ht="15" x14ac:dyDescent="0.25">
      <c r="A17" s="455"/>
      <c r="B17" s="469" t="s">
        <v>156</v>
      </c>
      <c r="C17" s="470">
        <v>67</v>
      </c>
      <c r="D17" s="471">
        <v>19569.54</v>
      </c>
      <c r="E17" s="472">
        <v>133063.51</v>
      </c>
      <c r="F17" s="472">
        <v>47412.87</v>
      </c>
      <c r="G17" s="472">
        <v>33308.04</v>
      </c>
      <c r="H17" s="472">
        <v>717</v>
      </c>
      <c r="I17" s="473">
        <v>0</v>
      </c>
      <c r="J17" s="474">
        <v>214501.42</v>
      </c>
      <c r="K17" s="455"/>
      <c r="L17" s="455"/>
    </row>
    <row r="18" spans="1:12" customFormat="1" ht="15" x14ac:dyDescent="0.25">
      <c r="A18" s="455"/>
      <c r="B18" s="469" t="s">
        <v>157</v>
      </c>
      <c r="C18" s="470">
        <v>115</v>
      </c>
      <c r="D18" s="471">
        <v>35354.29</v>
      </c>
      <c r="E18" s="472">
        <v>173442.63</v>
      </c>
      <c r="F18" s="472">
        <v>61891.72</v>
      </c>
      <c r="G18" s="472">
        <v>65576.87</v>
      </c>
      <c r="H18" s="472">
        <v>584</v>
      </c>
      <c r="I18" s="473">
        <v>0</v>
      </c>
      <c r="J18" s="474">
        <v>301495.21999999997</v>
      </c>
      <c r="K18" s="475"/>
      <c r="L18" s="475"/>
    </row>
    <row r="19" spans="1:12" customFormat="1" ht="15" x14ac:dyDescent="0.25">
      <c r="A19" s="455"/>
      <c r="B19" s="469" t="s">
        <v>158</v>
      </c>
      <c r="C19" s="470">
        <v>127</v>
      </c>
      <c r="D19" s="471">
        <v>39444.44</v>
      </c>
      <c r="E19" s="472">
        <v>185249.03</v>
      </c>
      <c r="F19" s="472">
        <v>67796.77</v>
      </c>
      <c r="G19" s="472">
        <v>61533.64</v>
      </c>
      <c r="H19" s="472">
        <v>1780</v>
      </c>
      <c r="I19" s="473">
        <v>43676</v>
      </c>
      <c r="J19" s="474">
        <v>360035.44</v>
      </c>
      <c r="K19" s="475"/>
      <c r="L19" s="475"/>
    </row>
    <row r="20" spans="1:12" customFormat="1" ht="15" x14ac:dyDescent="0.25">
      <c r="A20" s="455"/>
      <c r="B20" s="469" t="s">
        <v>159</v>
      </c>
      <c r="C20" s="470">
        <v>73</v>
      </c>
      <c r="D20" s="471">
        <v>22019.27</v>
      </c>
      <c r="E20" s="472">
        <v>124328.92</v>
      </c>
      <c r="F20" s="472">
        <v>45514.879999999997</v>
      </c>
      <c r="G20" s="472">
        <v>30618.79</v>
      </c>
      <c r="H20" s="472">
        <v>438</v>
      </c>
      <c r="I20" s="473">
        <v>0</v>
      </c>
      <c r="J20" s="474">
        <v>200900.59</v>
      </c>
      <c r="K20" s="475"/>
      <c r="L20" s="475"/>
    </row>
    <row r="21" spans="1:12" customFormat="1" ht="15" x14ac:dyDescent="0.25">
      <c r="A21" s="455"/>
      <c r="B21" s="469" t="s">
        <v>160</v>
      </c>
      <c r="C21" s="470">
        <v>35</v>
      </c>
      <c r="D21" s="471">
        <v>10316.06</v>
      </c>
      <c r="E21" s="472">
        <v>65140.5</v>
      </c>
      <c r="F21" s="472">
        <v>21803.7</v>
      </c>
      <c r="G21" s="472">
        <v>17544.96</v>
      </c>
      <c r="H21" s="472">
        <v>0</v>
      </c>
      <c r="I21" s="473">
        <v>0</v>
      </c>
      <c r="J21" s="474">
        <v>104489.16</v>
      </c>
      <c r="K21" s="475"/>
      <c r="L21" s="475"/>
    </row>
    <row r="22" spans="1:12" customFormat="1" ht="15" x14ac:dyDescent="0.25">
      <c r="A22" s="455"/>
      <c r="B22" s="469" t="s">
        <v>161</v>
      </c>
      <c r="C22" s="470">
        <v>36</v>
      </c>
      <c r="D22" s="471">
        <v>19438.510000000002</v>
      </c>
      <c r="E22" s="472">
        <v>85711.52</v>
      </c>
      <c r="F22" s="472">
        <v>31587.17</v>
      </c>
      <c r="G22" s="472">
        <v>25054.989999999998</v>
      </c>
      <c r="H22" s="472">
        <v>155</v>
      </c>
      <c r="I22" s="473">
        <v>0</v>
      </c>
      <c r="J22" s="474">
        <v>142508.68</v>
      </c>
      <c r="K22" s="475"/>
      <c r="L22" s="475"/>
    </row>
    <row r="23" spans="1:12" customFormat="1" ht="15" x14ac:dyDescent="0.25">
      <c r="A23" s="455"/>
      <c r="B23" s="469" t="s">
        <v>162</v>
      </c>
      <c r="C23" s="470">
        <v>41</v>
      </c>
      <c r="D23" s="471">
        <v>5077.42</v>
      </c>
      <c r="E23" s="472">
        <v>75151.33</v>
      </c>
      <c r="F23" s="472">
        <v>26746.79</v>
      </c>
      <c r="G23" s="472">
        <v>21962.34</v>
      </c>
      <c r="H23" s="472">
        <v>322</v>
      </c>
      <c r="I23" s="473">
        <v>0</v>
      </c>
      <c r="J23" s="474">
        <v>124182.45999999999</v>
      </c>
      <c r="K23" s="475"/>
      <c r="L23" s="475"/>
    </row>
    <row r="24" spans="1:12" customFormat="1" ht="15" x14ac:dyDescent="0.25">
      <c r="A24" s="455"/>
      <c r="B24" s="476" t="s">
        <v>163</v>
      </c>
      <c r="C24" s="477">
        <v>133</v>
      </c>
      <c r="D24" s="478">
        <v>13345.83</v>
      </c>
      <c r="E24" s="479">
        <v>204010.94</v>
      </c>
      <c r="F24" s="479">
        <v>74187.16</v>
      </c>
      <c r="G24" s="479">
        <v>66521.48</v>
      </c>
      <c r="H24" s="479">
        <v>1125</v>
      </c>
      <c r="I24" s="480">
        <v>0</v>
      </c>
      <c r="J24" s="474">
        <v>345844.57999999996</v>
      </c>
      <c r="K24" s="475"/>
      <c r="L24" s="475"/>
    </row>
    <row r="25" spans="1:12" customFormat="1" ht="15.75" thickBot="1" x14ac:dyDescent="0.3">
      <c r="A25" s="455"/>
      <c r="B25" s="469" t="s">
        <v>546</v>
      </c>
      <c r="C25" s="470"/>
      <c r="D25" s="471"/>
      <c r="E25" s="472"/>
      <c r="F25" s="472"/>
      <c r="G25" s="472">
        <v>4142.6899999999996</v>
      </c>
      <c r="H25" s="472"/>
      <c r="I25" s="473"/>
      <c r="J25" s="474">
        <v>4142.6899999999996</v>
      </c>
      <c r="K25" s="475"/>
      <c r="L25" s="481"/>
    </row>
    <row r="26" spans="1:12" s="150" customFormat="1" ht="17.25" customHeight="1" thickTop="1" thickBot="1" x14ac:dyDescent="0.3">
      <c r="B26" s="482" t="s">
        <v>164</v>
      </c>
      <c r="C26" s="483">
        <v>1307</v>
      </c>
      <c r="D26" s="483">
        <v>371017.56000000006</v>
      </c>
      <c r="E26" s="483">
        <v>2072033.66</v>
      </c>
      <c r="F26" s="483">
        <v>745426.66000000015</v>
      </c>
      <c r="G26" s="483">
        <v>682178.86999999988</v>
      </c>
      <c r="H26" s="483">
        <v>13797</v>
      </c>
      <c r="I26" s="483">
        <v>43676</v>
      </c>
      <c r="J26" s="485">
        <v>3557112.19</v>
      </c>
      <c r="K26" s="486"/>
      <c r="L26" s="486"/>
    </row>
    <row r="27" spans="1:12" customFormat="1" ht="3.75" customHeight="1" thickBot="1" x14ac:dyDescent="0.3">
      <c r="A27" s="455"/>
      <c r="B27" s="459"/>
      <c r="C27" s="459"/>
      <c r="D27" s="459"/>
      <c r="E27" s="459"/>
      <c r="F27" s="459"/>
      <c r="G27" s="459"/>
      <c r="H27" s="459"/>
      <c r="I27" s="459"/>
      <c r="J27" s="459"/>
      <c r="K27" s="475"/>
      <c r="L27" s="475"/>
    </row>
    <row r="28" spans="1:12" customFormat="1" ht="19.5" customHeight="1" thickBot="1" x14ac:dyDescent="0.3">
      <c r="A28" s="455"/>
      <c r="B28" s="487" t="s">
        <v>5</v>
      </c>
      <c r="C28" s="488">
        <v>186</v>
      </c>
      <c r="D28" s="489">
        <v>29312</v>
      </c>
      <c r="E28" s="490">
        <v>331719.03000000003</v>
      </c>
      <c r="F28" s="491">
        <v>119848.76</v>
      </c>
      <c r="G28" s="491">
        <v>93696.349999999991</v>
      </c>
      <c r="H28" s="491">
        <v>200</v>
      </c>
      <c r="I28" s="491">
        <v>26077.119999999999</v>
      </c>
      <c r="J28" s="492">
        <v>571541.26</v>
      </c>
      <c r="K28" s="475"/>
      <c r="L28" s="475"/>
    </row>
    <row r="29" spans="1:12" customFormat="1" ht="15" x14ac:dyDescent="0.25">
      <c r="A29" s="455"/>
      <c r="B29" s="459"/>
      <c r="C29" s="459"/>
      <c r="D29" s="459"/>
      <c r="E29" s="459"/>
      <c r="F29" s="459"/>
      <c r="G29" s="459"/>
      <c r="H29" s="459"/>
      <c r="I29" s="459"/>
      <c r="J29" s="493"/>
      <c r="K29" s="475"/>
      <c r="L29" s="475"/>
    </row>
    <row r="30" spans="1:12" customFormat="1" ht="12.95" customHeight="1" x14ac:dyDescent="0.25">
      <c r="A30" s="455"/>
      <c r="B30" s="462" t="s">
        <v>165</v>
      </c>
      <c r="C30" s="463"/>
      <c r="D30" s="463"/>
      <c r="E30" s="459"/>
      <c r="F30" s="459"/>
      <c r="G30" s="459"/>
      <c r="H30" s="459"/>
      <c r="I30" s="459"/>
      <c r="J30" s="459"/>
      <c r="K30" s="475"/>
      <c r="L30" s="475"/>
    </row>
    <row r="31" spans="1:12" customFormat="1" ht="15.75" thickBot="1" x14ac:dyDescent="0.3">
      <c r="A31" s="455"/>
      <c r="B31" s="459"/>
      <c r="C31" s="459"/>
      <c r="D31" s="459"/>
      <c r="E31" s="459"/>
      <c r="F31" s="459"/>
      <c r="G31" s="459"/>
      <c r="H31" s="460"/>
      <c r="I31" s="461"/>
      <c r="J31" s="459"/>
      <c r="K31" s="475"/>
      <c r="L31" s="475"/>
    </row>
    <row r="32" spans="1:12" customFormat="1" ht="15" x14ac:dyDescent="0.25">
      <c r="A32" s="455"/>
      <c r="B32" s="809" t="s">
        <v>146</v>
      </c>
      <c r="C32" s="811" t="s">
        <v>56</v>
      </c>
      <c r="D32" s="812"/>
      <c r="E32" s="812"/>
      <c r="F32" s="812"/>
      <c r="G32" s="812"/>
      <c r="H32" s="813"/>
      <c r="I32" s="458"/>
      <c r="J32" s="458"/>
      <c r="K32" s="458"/>
      <c r="L32" s="458"/>
    </row>
    <row r="33" spans="1:12" customFormat="1" ht="15.75" thickBot="1" x14ac:dyDescent="0.3">
      <c r="A33" s="455"/>
      <c r="B33" s="810"/>
      <c r="C33" s="746">
        <v>610</v>
      </c>
      <c r="D33" s="746">
        <v>620</v>
      </c>
      <c r="E33" s="746">
        <v>630</v>
      </c>
      <c r="F33" s="746">
        <v>640</v>
      </c>
      <c r="G33" s="746">
        <v>700</v>
      </c>
      <c r="H33" s="747" t="s">
        <v>125</v>
      </c>
      <c r="I33" s="458"/>
      <c r="J33" s="458"/>
      <c r="K33" s="455"/>
      <c r="L33" s="455"/>
    </row>
    <row r="34" spans="1:12" customFormat="1" ht="15.75" thickTop="1" x14ac:dyDescent="0.25">
      <c r="A34" s="455"/>
      <c r="B34" s="464" t="s">
        <v>149</v>
      </c>
      <c r="C34" s="467">
        <v>22077.41</v>
      </c>
      <c r="D34" s="467">
        <v>8364.52</v>
      </c>
      <c r="E34" s="467">
        <v>21824.789999999997</v>
      </c>
      <c r="F34" s="467">
        <v>1274</v>
      </c>
      <c r="G34" s="494">
        <v>0</v>
      </c>
      <c r="H34" s="468">
        <v>53540.72</v>
      </c>
      <c r="I34" s="458"/>
      <c r="J34" s="458"/>
      <c r="K34" s="455"/>
      <c r="L34" s="455"/>
    </row>
    <row r="35" spans="1:12" customFormat="1" ht="15" x14ac:dyDescent="0.25">
      <c r="A35" s="455"/>
      <c r="B35" s="469" t="s">
        <v>150</v>
      </c>
      <c r="C35" s="472">
        <v>33940.980000000003</v>
      </c>
      <c r="D35" s="472">
        <v>12139.32</v>
      </c>
      <c r="E35" s="472">
        <v>32172.239999999998</v>
      </c>
      <c r="F35" s="472">
        <v>64</v>
      </c>
      <c r="G35" s="473">
        <v>0</v>
      </c>
      <c r="H35" s="474">
        <v>78316.540000000008</v>
      </c>
      <c r="I35" s="458"/>
      <c r="J35" s="458"/>
      <c r="K35" s="455"/>
      <c r="L35" s="455"/>
    </row>
    <row r="36" spans="1:12" customFormat="1" ht="15" x14ac:dyDescent="0.25">
      <c r="A36" s="455"/>
      <c r="B36" s="469" t="s">
        <v>151</v>
      </c>
      <c r="C36" s="472">
        <v>22290.19</v>
      </c>
      <c r="D36" s="472">
        <v>7947.67</v>
      </c>
      <c r="E36" s="472">
        <v>21724.31</v>
      </c>
      <c r="F36" s="472">
        <v>0</v>
      </c>
      <c r="G36" s="473">
        <v>0</v>
      </c>
      <c r="H36" s="474">
        <v>51962.17</v>
      </c>
      <c r="I36" s="458"/>
      <c r="J36" s="458"/>
      <c r="K36" s="455"/>
      <c r="L36" s="455"/>
    </row>
    <row r="37" spans="1:12" customFormat="1" ht="15" x14ac:dyDescent="0.25">
      <c r="A37" s="455"/>
      <c r="B37" s="469" t="s">
        <v>152</v>
      </c>
      <c r="C37" s="472">
        <v>23563.26</v>
      </c>
      <c r="D37" s="472">
        <v>8429.42</v>
      </c>
      <c r="E37" s="472">
        <v>27615.010000000002</v>
      </c>
      <c r="F37" s="472">
        <v>0</v>
      </c>
      <c r="G37" s="473">
        <v>0</v>
      </c>
      <c r="H37" s="474">
        <v>59607.69</v>
      </c>
      <c r="I37" s="458"/>
      <c r="J37" s="458"/>
      <c r="K37" s="455"/>
      <c r="L37" s="455"/>
    </row>
    <row r="38" spans="1:12" customFormat="1" ht="15" x14ac:dyDescent="0.25">
      <c r="A38" s="455"/>
      <c r="B38" s="469" t="s">
        <v>153</v>
      </c>
      <c r="C38" s="472">
        <v>24600.02</v>
      </c>
      <c r="D38" s="472">
        <v>9074.56</v>
      </c>
      <c r="E38" s="472">
        <v>23562.260000000002</v>
      </c>
      <c r="F38" s="472">
        <v>0</v>
      </c>
      <c r="G38" s="473">
        <v>0</v>
      </c>
      <c r="H38" s="474">
        <v>57236.840000000004</v>
      </c>
      <c r="I38" s="458"/>
      <c r="J38" s="458"/>
      <c r="K38" s="455"/>
      <c r="L38" s="455"/>
    </row>
    <row r="39" spans="1:12" customFormat="1" ht="15" x14ac:dyDescent="0.25">
      <c r="A39" s="455"/>
      <c r="B39" s="469" t="s">
        <v>154</v>
      </c>
      <c r="C39" s="472">
        <v>37832.31</v>
      </c>
      <c r="D39" s="472">
        <v>13460.5</v>
      </c>
      <c r="E39" s="472">
        <v>42413.69</v>
      </c>
      <c r="F39" s="472">
        <v>317</v>
      </c>
      <c r="G39" s="473">
        <v>0</v>
      </c>
      <c r="H39" s="474">
        <v>94023.5</v>
      </c>
      <c r="I39" s="458"/>
      <c r="J39" s="458"/>
      <c r="K39" s="455"/>
      <c r="L39" s="455"/>
    </row>
    <row r="40" spans="1:12" customFormat="1" ht="15" x14ac:dyDescent="0.25">
      <c r="A40" s="455"/>
      <c r="B40" s="469" t="s">
        <v>5</v>
      </c>
      <c r="C40" s="472">
        <v>42284.06</v>
      </c>
      <c r="D40" s="472">
        <v>15607.35</v>
      </c>
      <c r="E40" s="472">
        <v>43682.18</v>
      </c>
      <c r="F40" s="472">
        <v>2554</v>
      </c>
      <c r="G40" s="473">
        <v>0</v>
      </c>
      <c r="H40" s="474">
        <v>104127.59</v>
      </c>
      <c r="I40" s="458"/>
      <c r="J40" s="458"/>
      <c r="K40" s="455"/>
      <c r="L40" s="455"/>
    </row>
    <row r="41" spans="1:12" customFormat="1" ht="15" x14ac:dyDescent="0.25">
      <c r="A41" s="455"/>
      <c r="B41" s="469" t="s">
        <v>155</v>
      </c>
      <c r="C41" s="472">
        <v>40328.79</v>
      </c>
      <c r="D41" s="472">
        <v>13974.9</v>
      </c>
      <c r="E41" s="472">
        <v>40078.559999999998</v>
      </c>
      <c r="F41" s="498">
        <v>2739</v>
      </c>
      <c r="G41" s="473">
        <v>0</v>
      </c>
      <c r="H41" s="474">
        <v>97121.25</v>
      </c>
      <c r="I41" s="458"/>
      <c r="J41" s="458"/>
      <c r="K41" s="455"/>
      <c r="L41" s="455"/>
    </row>
    <row r="42" spans="1:12" customFormat="1" ht="15" x14ac:dyDescent="0.25">
      <c r="A42" s="455"/>
      <c r="B42" s="469" t="s">
        <v>156</v>
      </c>
      <c r="C42" s="472">
        <v>24634.27</v>
      </c>
      <c r="D42" s="472">
        <v>8949.86</v>
      </c>
      <c r="E42" s="472">
        <v>17157.38</v>
      </c>
      <c r="F42" s="498">
        <v>247</v>
      </c>
      <c r="G42" s="473">
        <v>4900</v>
      </c>
      <c r="H42" s="474">
        <v>55888.510000000009</v>
      </c>
      <c r="I42" s="458"/>
      <c r="J42" s="458"/>
      <c r="K42" s="455"/>
      <c r="L42" s="455"/>
    </row>
    <row r="43" spans="1:12" customFormat="1" ht="15" x14ac:dyDescent="0.25">
      <c r="A43" s="455"/>
      <c r="B43" s="469" t="s">
        <v>157</v>
      </c>
      <c r="C43" s="472">
        <v>27827.82</v>
      </c>
      <c r="D43" s="472">
        <v>10270.280000000001</v>
      </c>
      <c r="E43" s="472">
        <v>29150.57</v>
      </c>
      <c r="F43" s="498">
        <v>792</v>
      </c>
      <c r="G43" s="473">
        <v>0</v>
      </c>
      <c r="H43" s="474">
        <v>68040.67</v>
      </c>
      <c r="I43" s="458"/>
      <c r="J43" s="458"/>
      <c r="K43" s="455"/>
      <c r="L43" s="455"/>
    </row>
    <row r="44" spans="1:12" customFormat="1" ht="15" x14ac:dyDescent="0.25">
      <c r="A44" s="455"/>
      <c r="B44" s="469" t="s">
        <v>158</v>
      </c>
      <c r="C44" s="472">
        <v>32245.38</v>
      </c>
      <c r="D44" s="472">
        <v>11585.62</v>
      </c>
      <c r="E44" s="472">
        <v>34138.359999999993</v>
      </c>
      <c r="F44" s="472">
        <v>103</v>
      </c>
      <c r="G44" s="473">
        <v>0</v>
      </c>
      <c r="H44" s="474">
        <v>78072.359999999986</v>
      </c>
      <c r="I44" s="458"/>
      <c r="J44" s="458"/>
      <c r="K44" s="455"/>
      <c r="L44" s="455"/>
    </row>
    <row r="45" spans="1:12" customFormat="1" ht="15" x14ac:dyDescent="0.25">
      <c r="A45" s="455"/>
      <c r="B45" s="469" t="s">
        <v>159</v>
      </c>
      <c r="C45" s="472">
        <v>25209.33</v>
      </c>
      <c r="D45" s="472">
        <v>9032.25</v>
      </c>
      <c r="E45" s="472">
        <v>25840.61</v>
      </c>
      <c r="F45" s="472">
        <v>64</v>
      </c>
      <c r="G45" s="473">
        <v>0</v>
      </c>
      <c r="H45" s="474">
        <v>60146.19</v>
      </c>
      <c r="I45" s="458"/>
      <c r="J45" s="458"/>
      <c r="K45" s="455"/>
      <c r="L45" s="455"/>
    </row>
    <row r="46" spans="1:12" customFormat="1" ht="15" x14ac:dyDescent="0.25">
      <c r="A46" s="455"/>
      <c r="B46" s="469" t="s">
        <v>160</v>
      </c>
      <c r="C46" s="472">
        <v>13367.57</v>
      </c>
      <c r="D46" s="472">
        <v>4497.42</v>
      </c>
      <c r="E46" s="472">
        <v>11430.37</v>
      </c>
      <c r="F46" s="472">
        <v>0</v>
      </c>
      <c r="G46" s="473">
        <v>0</v>
      </c>
      <c r="H46" s="474">
        <v>29295.360000000001</v>
      </c>
      <c r="I46" s="458"/>
      <c r="J46" s="458"/>
      <c r="K46" s="455"/>
      <c r="L46" s="455"/>
    </row>
    <row r="47" spans="1:12" customFormat="1" ht="15.75" thickBot="1" x14ac:dyDescent="0.3">
      <c r="A47" s="455"/>
      <c r="B47" s="476" t="s">
        <v>161</v>
      </c>
      <c r="C47" s="479">
        <v>20816</v>
      </c>
      <c r="D47" s="479">
        <v>7497.68</v>
      </c>
      <c r="E47" s="479">
        <v>22576.010000000002</v>
      </c>
      <c r="F47" s="479">
        <v>0</v>
      </c>
      <c r="G47" s="480">
        <v>0</v>
      </c>
      <c r="H47" s="474">
        <v>50889.69</v>
      </c>
      <c r="I47" s="458"/>
      <c r="J47" s="458"/>
      <c r="K47" s="455"/>
      <c r="L47" s="455"/>
    </row>
    <row r="48" spans="1:12" customFormat="1" ht="20.25" customHeight="1" thickTop="1" thickBot="1" x14ac:dyDescent="0.3">
      <c r="A48" s="455"/>
      <c r="B48" s="482" t="s">
        <v>164</v>
      </c>
      <c r="C48" s="484">
        <v>391017.39</v>
      </c>
      <c r="D48" s="484">
        <v>140831.34999999998</v>
      </c>
      <c r="E48" s="484">
        <v>393366.33999999997</v>
      </c>
      <c r="F48" s="484">
        <v>8154</v>
      </c>
      <c r="G48" s="484">
        <v>4900</v>
      </c>
      <c r="H48" s="484">
        <v>938269.08000000007</v>
      </c>
      <c r="I48" s="459"/>
      <c r="J48" s="459"/>
      <c r="K48" s="455"/>
      <c r="L48" s="455"/>
    </row>
    <row r="49" spans="1:12" customFormat="1" ht="15" x14ac:dyDescent="0.25">
      <c r="A49" s="455"/>
      <c r="B49" s="495"/>
      <c r="C49" s="496"/>
      <c r="D49" s="496"/>
      <c r="E49" s="496"/>
      <c r="F49" s="496"/>
      <c r="G49" s="496"/>
      <c r="H49" s="496"/>
      <c r="I49" s="459"/>
      <c r="J49" s="459"/>
      <c r="K49" s="455"/>
      <c r="L49" s="455"/>
    </row>
    <row r="50" spans="1:12" s="751" customFormat="1" ht="15" x14ac:dyDescent="0.25">
      <c r="B50" s="495"/>
      <c r="C50" s="496"/>
      <c r="D50" s="496"/>
      <c r="E50" s="496"/>
      <c r="F50" s="496"/>
      <c r="G50" s="496"/>
      <c r="H50" s="496"/>
      <c r="I50" s="459"/>
      <c r="J50" s="459"/>
    </row>
    <row r="51" spans="1:12" customFormat="1" ht="15" x14ac:dyDescent="0.25">
      <c r="A51" s="455"/>
      <c r="B51" s="459"/>
      <c r="C51" s="459"/>
      <c r="D51" s="459"/>
      <c r="E51" s="459"/>
      <c r="F51" s="459"/>
      <c r="G51" s="459"/>
      <c r="H51" s="459"/>
      <c r="I51" s="459"/>
      <c r="J51" s="493"/>
      <c r="K51" s="455"/>
      <c r="L51" s="455"/>
    </row>
    <row r="52" spans="1:12" customFormat="1" ht="12.95" customHeight="1" x14ac:dyDescent="0.25">
      <c r="A52" s="455"/>
      <c r="B52" s="814" t="s">
        <v>166</v>
      </c>
      <c r="C52" s="814"/>
      <c r="D52" s="814"/>
      <c r="E52" s="814"/>
      <c r="F52" s="814"/>
      <c r="G52" s="814"/>
      <c r="H52" s="814"/>
      <c r="I52" s="459"/>
      <c r="J52" s="493"/>
      <c r="K52" s="455"/>
      <c r="L52" s="455"/>
    </row>
    <row r="53" spans="1:12" s="697" customFormat="1" ht="15.75" thickBot="1" x14ac:dyDescent="0.3">
      <c r="B53" s="459"/>
      <c r="C53" s="459"/>
      <c r="D53" s="459"/>
      <c r="E53" s="459"/>
      <c r="F53" s="459"/>
      <c r="G53" s="459"/>
      <c r="H53" s="460"/>
      <c r="I53" s="459"/>
      <c r="J53" s="459"/>
    </row>
    <row r="54" spans="1:12" s="697" customFormat="1" ht="15" x14ac:dyDescent="0.25">
      <c r="B54" s="809" t="s">
        <v>146</v>
      </c>
      <c r="C54" s="811" t="s">
        <v>56</v>
      </c>
      <c r="D54" s="812"/>
      <c r="E54" s="812"/>
      <c r="F54" s="812"/>
      <c r="G54" s="812"/>
      <c r="H54" s="813"/>
      <c r="I54" s="459"/>
      <c r="J54" s="459"/>
    </row>
    <row r="55" spans="1:12" s="697" customFormat="1" ht="15.75" thickBot="1" x14ac:dyDescent="0.3">
      <c r="B55" s="810"/>
      <c r="C55" s="746">
        <v>610</v>
      </c>
      <c r="D55" s="746">
        <v>620</v>
      </c>
      <c r="E55" s="746">
        <v>630</v>
      </c>
      <c r="F55" s="746">
        <v>640</v>
      </c>
      <c r="G55" s="746">
        <v>700</v>
      </c>
      <c r="H55" s="747" t="s">
        <v>125</v>
      </c>
      <c r="I55" s="459"/>
      <c r="J55" s="459"/>
    </row>
    <row r="56" spans="1:12" customFormat="1" ht="15.75" thickTop="1" x14ac:dyDescent="0.25">
      <c r="A56" s="455"/>
      <c r="B56" s="464" t="s">
        <v>149</v>
      </c>
      <c r="C56" s="501">
        <v>128013.16</v>
      </c>
      <c r="D56" s="501">
        <v>45924.84</v>
      </c>
      <c r="E56" s="501">
        <v>52104.52</v>
      </c>
      <c r="F56" s="501">
        <v>1644</v>
      </c>
      <c r="G56" s="501">
        <v>0</v>
      </c>
      <c r="H56" s="507">
        <v>227686.52</v>
      </c>
      <c r="I56" s="459"/>
      <c r="J56" s="459"/>
      <c r="K56" s="455"/>
      <c r="L56" s="455"/>
    </row>
    <row r="57" spans="1:12" customFormat="1" ht="15" x14ac:dyDescent="0.25">
      <c r="A57" s="455"/>
      <c r="B57" s="500" t="s">
        <v>150</v>
      </c>
      <c r="C57" s="503">
        <v>220610.27000000002</v>
      </c>
      <c r="D57" s="503">
        <v>76865.790000000008</v>
      </c>
      <c r="E57" s="503">
        <v>85361.790000000008</v>
      </c>
      <c r="F57" s="504">
        <v>412</v>
      </c>
      <c r="G57" s="504">
        <v>0</v>
      </c>
      <c r="H57" s="509">
        <v>383249.85000000009</v>
      </c>
      <c r="I57" s="459"/>
      <c r="J57" s="459"/>
      <c r="K57" s="455"/>
      <c r="L57" s="455"/>
    </row>
    <row r="58" spans="1:12" customFormat="1" ht="15" x14ac:dyDescent="0.25">
      <c r="A58" s="455"/>
      <c r="B58" s="500" t="s">
        <v>151</v>
      </c>
      <c r="C58" s="503">
        <v>123277.02</v>
      </c>
      <c r="D58" s="503">
        <v>45117.46</v>
      </c>
      <c r="E58" s="503">
        <v>63656.770000000004</v>
      </c>
      <c r="F58" s="504">
        <v>323</v>
      </c>
      <c r="G58" s="504">
        <v>0</v>
      </c>
      <c r="H58" s="509">
        <v>232374.25</v>
      </c>
      <c r="I58" s="459"/>
      <c r="J58" s="459"/>
      <c r="K58" s="455"/>
      <c r="L58" s="455"/>
    </row>
    <row r="59" spans="1:12" customFormat="1" ht="15" x14ac:dyDescent="0.25">
      <c r="A59" s="455"/>
      <c r="B59" s="500" t="s">
        <v>152</v>
      </c>
      <c r="C59" s="503">
        <v>149417.89000000001</v>
      </c>
      <c r="D59" s="503">
        <v>54717.2</v>
      </c>
      <c r="E59" s="503">
        <v>80335.25</v>
      </c>
      <c r="F59" s="504">
        <v>2310</v>
      </c>
      <c r="G59" s="504">
        <v>0</v>
      </c>
      <c r="H59" s="509">
        <v>286780.34000000003</v>
      </c>
      <c r="I59" s="459"/>
      <c r="J59" s="459"/>
      <c r="K59" s="455"/>
      <c r="L59" s="455"/>
    </row>
    <row r="60" spans="1:12" customFormat="1" ht="15" x14ac:dyDescent="0.25">
      <c r="A60" s="455"/>
      <c r="B60" s="500" t="s">
        <v>153</v>
      </c>
      <c r="C60" s="503">
        <v>153433.41999999998</v>
      </c>
      <c r="D60" s="503">
        <v>55653.82</v>
      </c>
      <c r="E60" s="503">
        <v>70874.51999999999</v>
      </c>
      <c r="F60" s="504">
        <v>159</v>
      </c>
      <c r="G60" s="504">
        <v>0</v>
      </c>
      <c r="H60" s="509">
        <v>280120.76</v>
      </c>
      <c r="I60" s="459"/>
      <c r="J60" s="459"/>
      <c r="K60" s="455"/>
      <c r="L60" s="455"/>
    </row>
    <row r="61" spans="1:12" customFormat="1" ht="15" x14ac:dyDescent="0.25">
      <c r="A61" s="455"/>
      <c r="B61" s="500" t="s">
        <v>154</v>
      </c>
      <c r="C61" s="503">
        <v>227088.27</v>
      </c>
      <c r="D61" s="503">
        <v>81720.990000000005</v>
      </c>
      <c r="E61" s="503">
        <v>100091.77</v>
      </c>
      <c r="F61" s="504">
        <v>2669</v>
      </c>
      <c r="G61" s="504">
        <v>0</v>
      </c>
      <c r="H61" s="509">
        <v>411570.03</v>
      </c>
      <c r="I61" s="459"/>
      <c r="J61" s="459"/>
      <c r="K61" s="455"/>
      <c r="L61" s="455"/>
    </row>
    <row r="62" spans="1:12" customFormat="1" ht="15" x14ac:dyDescent="0.25">
      <c r="A62" s="455"/>
      <c r="B62" s="469" t="s">
        <v>5</v>
      </c>
      <c r="C62" s="502">
        <v>374003.09</v>
      </c>
      <c r="D62" s="502">
        <v>135456.10999999999</v>
      </c>
      <c r="E62" s="502">
        <v>137378.53</v>
      </c>
      <c r="F62" s="505">
        <v>2754</v>
      </c>
      <c r="G62" s="504">
        <v>26077.119999999999</v>
      </c>
      <c r="H62" s="509">
        <v>675668.85</v>
      </c>
      <c r="I62" s="459"/>
      <c r="J62" s="459"/>
      <c r="K62" s="455"/>
      <c r="L62" s="455"/>
    </row>
    <row r="63" spans="1:12" customFormat="1" ht="15" x14ac:dyDescent="0.25">
      <c r="A63" s="455"/>
      <c r="B63" s="469" t="s">
        <v>155</v>
      </c>
      <c r="C63" s="472">
        <v>228728.21000000002</v>
      </c>
      <c r="D63" s="472">
        <v>81876.39</v>
      </c>
      <c r="E63" s="472">
        <v>112881.31</v>
      </c>
      <c r="F63" s="472">
        <v>5553</v>
      </c>
      <c r="G63" s="506">
        <v>0</v>
      </c>
      <c r="H63" s="509">
        <v>429038.91000000003</v>
      </c>
      <c r="I63" s="459"/>
      <c r="J63" s="459"/>
      <c r="K63" s="455"/>
      <c r="L63" s="455"/>
    </row>
    <row r="64" spans="1:12" customFormat="1" ht="15" x14ac:dyDescent="0.25">
      <c r="A64" s="455"/>
      <c r="B64" s="469" t="s">
        <v>156</v>
      </c>
      <c r="C64" s="472">
        <v>157697.78</v>
      </c>
      <c r="D64" s="472">
        <v>56362.73</v>
      </c>
      <c r="E64" s="472">
        <v>50465.42</v>
      </c>
      <c r="F64" s="472">
        <v>964</v>
      </c>
      <c r="G64" s="506">
        <v>4900</v>
      </c>
      <c r="H64" s="509">
        <v>270389.93</v>
      </c>
      <c r="I64" s="459"/>
      <c r="J64" s="459"/>
      <c r="K64" s="455"/>
      <c r="L64" s="455"/>
    </row>
    <row r="65" spans="1:12" customFormat="1" ht="15" x14ac:dyDescent="0.25">
      <c r="A65" s="455"/>
      <c r="B65" s="469" t="s">
        <v>157</v>
      </c>
      <c r="C65" s="472">
        <v>201270.45</v>
      </c>
      <c r="D65" s="472">
        <v>72162</v>
      </c>
      <c r="E65" s="472">
        <v>94727.44</v>
      </c>
      <c r="F65" s="472">
        <v>1376</v>
      </c>
      <c r="G65" s="506">
        <v>0</v>
      </c>
      <c r="H65" s="509">
        <v>369535.89</v>
      </c>
      <c r="I65" s="459"/>
      <c r="J65" s="459"/>
      <c r="K65" s="455"/>
      <c r="L65" s="455"/>
    </row>
    <row r="66" spans="1:12" customFormat="1" ht="15" x14ac:dyDescent="0.25">
      <c r="A66" s="455"/>
      <c r="B66" s="469" t="s">
        <v>158</v>
      </c>
      <c r="C66" s="472">
        <v>217494.41</v>
      </c>
      <c r="D66" s="472">
        <v>79382.39</v>
      </c>
      <c r="E66" s="472">
        <v>95672</v>
      </c>
      <c r="F66" s="472">
        <v>1883</v>
      </c>
      <c r="G66" s="506">
        <v>43676</v>
      </c>
      <c r="H66" s="509">
        <v>438107.8</v>
      </c>
      <c r="I66" s="459"/>
      <c r="J66" s="459"/>
      <c r="K66" s="455"/>
      <c r="L66" s="455"/>
    </row>
    <row r="67" spans="1:12" customFormat="1" ht="15" x14ac:dyDescent="0.25">
      <c r="A67" s="455"/>
      <c r="B67" s="469" t="s">
        <v>159</v>
      </c>
      <c r="C67" s="472">
        <v>149538.25</v>
      </c>
      <c r="D67" s="472">
        <v>54547.13</v>
      </c>
      <c r="E67" s="472">
        <v>56459.4</v>
      </c>
      <c r="F67" s="472">
        <v>502</v>
      </c>
      <c r="G67" s="506">
        <v>0</v>
      </c>
      <c r="H67" s="509">
        <v>261046.78</v>
      </c>
      <c r="I67" s="459"/>
      <c r="J67" s="459"/>
      <c r="K67" s="455"/>
      <c r="L67" s="455"/>
    </row>
    <row r="68" spans="1:12" customFormat="1" ht="15" x14ac:dyDescent="0.25">
      <c r="A68" s="455"/>
      <c r="B68" s="469" t="s">
        <v>160</v>
      </c>
      <c r="C68" s="472">
        <v>78508.070000000007</v>
      </c>
      <c r="D68" s="472">
        <v>26301.120000000003</v>
      </c>
      <c r="E68" s="472">
        <v>28975.33</v>
      </c>
      <c r="F68" s="472">
        <v>0</v>
      </c>
      <c r="G68" s="506">
        <v>0</v>
      </c>
      <c r="H68" s="509">
        <v>133784.52000000002</v>
      </c>
      <c r="I68" s="459"/>
      <c r="J68" s="459"/>
      <c r="K68" s="455"/>
      <c r="L68" s="455"/>
    </row>
    <row r="69" spans="1:12" customFormat="1" ht="15" x14ac:dyDescent="0.25">
      <c r="A69" s="455"/>
      <c r="B69" s="469" t="s">
        <v>161</v>
      </c>
      <c r="C69" s="472">
        <v>106527.52</v>
      </c>
      <c r="D69" s="472">
        <v>39084.85</v>
      </c>
      <c r="E69" s="472">
        <v>47631</v>
      </c>
      <c r="F69" s="472">
        <v>155</v>
      </c>
      <c r="G69" s="506">
        <v>0</v>
      </c>
      <c r="H69" s="509">
        <v>193398.37</v>
      </c>
      <c r="I69" s="459"/>
      <c r="J69" s="459"/>
      <c r="K69" s="455"/>
      <c r="L69" s="455"/>
    </row>
    <row r="70" spans="1:12" customFormat="1" ht="15" x14ac:dyDescent="0.25">
      <c r="A70" s="455"/>
      <c r="B70" s="469" t="s">
        <v>162</v>
      </c>
      <c r="C70" s="472">
        <v>75151.33</v>
      </c>
      <c r="D70" s="472">
        <v>26746.79</v>
      </c>
      <c r="E70" s="472">
        <v>21962.34</v>
      </c>
      <c r="F70" s="472">
        <v>322</v>
      </c>
      <c r="G70" s="472">
        <v>0</v>
      </c>
      <c r="H70" s="509">
        <v>124182.45999999999</v>
      </c>
      <c r="I70" s="459"/>
      <c r="J70" s="459"/>
      <c r="K70" s="455"/>
      <c r="L70" s="455"/>
    </row>
    <row r="71" spans="1:12" customFormat="1" ht="15.75" thickBot="1" x14ac:dyDescent="0.3">
      <c r="A71" s="455"/>
      <c r="B71" s="476" t="s">
        <v>163</v>
      </c>
      <c r="C71" s="472">
        <v>204010.94</v>
      </c>
      <c r="D71" s="472">
        <v>74187.16</v>
      </c>
      <c r="E71" s="472">
        <v>66521.48</v>
      </c>
      <c r="F71" s="472">
        <v>1125</v>
      </c>
      <c r="G71" s="472">
        <v>0</v>
      </c>
      <c r="H71" s="508">
        <v>345844.57999999996</v>
      </c>
      <c r="I71" s="459"/>
      <c r="J71" s="459"/>
      <c r="K71" s="455"/>
      <c r="L71" s="455"/>
    </row>
    <row r="72" spans="1:12" s="150" customFormat="1" ht="21.75" customHeight="1" thickTop="1" thickBot="1" x14ac:dyDescent="0.3">
      <c r="B72" s="482" t="s">
        <v>164</v>
      </c>
      <c r="C72" s="484">
        <v>2794770.08</v>
      </c>
      <c r="D72" s="484">
        <v>1006106.77</v>
      </c>
      <c r="E72" s="484">
        <v>1165098.8700000001</v>
      </c>
      <c r="F72" s="484">
        <v>22151</v>
      </c>
      <c r="G72" s="484">
        <v>74653.119999999995</v>
      </c>
      <c r="H72" s="484">
        <v>5062779.84</v>
      </c>
      <c r="I72" s="486"/>
      <c r="J72" s="497"/>
    </row>
    <row r="73" spans="1:12" customFormat="1" ht="15" x14ac:dyDescent="0.25">
      <c r="A73" s="455"/>
      <c r="B73" s="459"/>
      <c r="C73" s="459"/>
      <c r="D73" s="459"/>
      <c r="E73" s="459"/>
      <c r="F73" s="459"/>
      <c r="G73" s="459"/>
      <c r="H73" s="459"/>
      <c r="I73" s="493"/>
      <c r="J73" s="459"/>
      <c r="K73" s="455"/>
      <c r="L73" s="455"/>
    </row>
    <row r="74" spans="1:12" customFormat="1" ht="12" customHeight="1" x14ac:dyDescent="0.25">
      <c r="A74" s="455"/>
      <c r="B74" s="459"/>
      <c r="C74" s="493"/>
      <c r="D74" s="493"/>
      <c r="E74" s="493"/>
      <c r="F74" s="493"/>
      <c r="G74" s="493"/>
      <c r="H74" s="493"/>
      <c r="I74" s="459"/>
      <c r="J74" s="459"/>
      <c r="K74" s="455"/>
      <c r="L74" s="455"/>
    </row>
    <row r="75" spans="1:12" customFormat="1" ht="15" x14ac:dyDescent="0.25">
      <c r="A75" s="455"/>
      <c r="B75" s="459"/>
      <c r="C75" s="459"/>
      <c r="D75" s="459"/>
      <c r="E75" s="459"/>
      <c r="F75" s="493"/>
      <c r="G75" s="493"/>
      <c r="H75" s="459"/>
      <c r="I75" s="459"/>
      <c r="J75" s="459"/>
      <c r="K75" s="455"/>
      <c r="L75" s="455"/>
    </row>
    <row r="76" spans="1:12" customFormat="1" ht="15" x14ac:dyDescent="0.25">
      <c r="A76" s="455"/>
      <c r="B76" s="459"/>
      <c r="C76" s="459"/>
      <c r="D76" s="459"/>
      <c r="E76" s="459"/>
      <c r="F76" s="459"/>
      <c r="G76" s="493"/>
      <c r="H76" s="459"/>
      <c r="I76" s="459"/>
      <c r="J76" s="459"/>
      <c r="K76" s="455"/>
      <c r="L76" s="455"/>
    </row>
  </sheetData>
  <mergeCells count="16">
    <mergeCell ref="B54:B55"/>
    <mergeCell ref="C54:H54"/>
    <mergeCell ref="B32:B33"/>
    <mergeCell ref="H8:H9"/>
    <mergeCell ref="I8:I9"/>
    <mergeCell ref="C32:H32"/>
    <mergeCell ref="B52:H52"/>
    <mergeCell ref="B3:I3"/>
    <mergeCell ref="E8:E9"/>
    <mergeCell ref="F8:F9"/>
    <mergeCell ref="G8:G9"/>
    <mergeCell ref="E7:J7"/>
    <mergeCell ref="B7:B9"/>
    <mergeCell ref="C7:C9"/>
    <mergeCell ref="D7:D9"/>
    <mergeCell ref="J8:J9"/>
  </mergeCells>
  <pageMargins left="0.81" right="0.23" top="0.75" bottom="0.75" header="0.30000000000000004" footer="0.30000000000000004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3:N357"/>
  <sheetViews>
    <sheetView workbookViewId="0"/>
  </sheetViews>
  <sheetFormatPr defaultRowHeight="12.75" x14ac:dyDescent="0.2"/>
  <cols>
    <col min="1" max="1" width="5.42578125" style="27" customWidth="1"/>
    <col min="2" max="2" width="25.28515625" style="27" customWidth="1"/>
    <col min="3" max="4" width="11.28515625" style="27" customWidth="1"/>
    <col min="5" max="5" width="11" style="27" customWidth="1"/>
    <col min="6" max="6" width="9.28515625" style="27" customWidth="1"/>
    <col min="7" max="7" width="10.140625" style="27" customWidth="1"/>
    <col min="8" max="8" width="11.42578125" style="27" customWidth="1"/>
    <col min="9" max="9" width="8.7109375" style="457" customWidth="1"/>
    <col min="10" max="10" width="10.85546875" style="27" customWidth="1"/>
    <col min="11" max="11" width="12" style="27" customWidth="1"/>
    <col min="12" max="12" width="12.5703125" style="27" customWidth="1"/>
    <col min="13" max="13" width="13.5703125" style="27" customWidth="1"/>
    <col min="14" max="14" width="9.140625" style="27" customWidth="1"/>
    <col min="15" max="16384" width="9.140625" style="27"/>
  </cols>
  <sheetData>
    <row r="3" spans="2:14" ht="18" x14ac:dyDescent="0.25">
      <c r="B3" s="152" t="s">
        <v>167</v>
      </c>
      <c r="J3" s="27" t="s">
        <v>168</v>
      </c>
    </row>
    <row r="4" spans="2:14" ht="7.5" customHeight="1" x14ac:dyDescent="0.2"/>
    <row r="5" spans="2:14" s="127" customFormat="1" ht="22.5" customHeight="1" thickBot="1" x14ac:dyDescent="0.3">
      <c r="B5" s="816" t="s">
        <v>129</v>
      </c>
      <c r="C5" s="816"/>
      <c r="D5" s="816"/>
      <c r="E5" s="816"/>
    </row>
    <row r="6" spans="2:14" ht="13.5" thickTop="1" x14ac:dyDescent="0.2">
      <c r="B6" s="817" t="s">
        <v>169</v>
      </c>
      <c r="C6" s="817"/>
      <c r="D6" s="817"/>
      <c r="E6" s="154">
        <v>40518.120000000003</v>
      </c>
    </row>
    <row r="7" spans="2:14" x14ac:dyDescent="0.2">
      <c r="B7" s="815" t="s">
        <v>170</v>
      </c>
      <c r="C7" s="815"/>
      <c r="D7" s="815"/>
      <c r="E7" s="9">
        <v>34672.31</v>
      </c>
    </row>
    <row r="8" spans="2:14" x14ac:dyDescent="0.2">
      <c r="B8" s="815" t="s">
        <v>171</v>
      </c>
      <c r="C8" s="815"/>
      <c r="D8" s="815"/>
      <c r="E8" s="9">
        <v>17508.72</v>
      </c>
    </row>
    <row r="9" spans="2:14" s="122" customFormat="1" x14ac:dyDescent="0.25">
      <c r="B9" s="818" t="s">
        <v>133</v>
      </c>
      <c r="C9" s="818"/>
      <c r="D9" s="818"/>
      <c r="E9" s="155">
        <v>86848.92</v>
      </c>
    </row>
    <row r="10" spans="2:14" s="122" customFormat="1" x14ac:dyDescent="0.25">
      <c r="B10" s="156" t="s">
        <v>172</v>
      </c>
      <c r="C10" s="157"/>
      <c r="D10" s="158"/>
      <c r="E10" s="159">
        <v>0</v>
      </c>
    </row>
    <row r="11" spans="2:14" s="122" customFormat="1" x14ac:dyDescent="0.25">
      <c r="B11" s="160" t="s">
        <v>173</v>
      </c>
      <c r="C11" s="161"/>
      <c r="D11" s="162"/>
      <c r="E11" s="155">
        <v>0</v>
      </c>
    </row>
    <row r="12" spans="2:14" s="122" customFormat="1" ht="13.5" customHeight="1" x14ac:dyDescent="0.25">
      <c r="B12" s="818" t="s">
        <v>174</v>
      </c>
      <c r="C12" s="818"/>
      <c r="D12" s="818"/>
      <c r="E12" s="159">
        <v>33678.730000000003</v>
      </c>
    </row>
    <row r="13" spans="2:14" s="122" customFormat="1" ht="14.25" customHeight="1" thickBot="1" x14ac:dyDescent="0.3">
      <c r="B13" s="819" t="s">
        <v>135</v>
      </c>
      <c r="C13" s="819"/>
      <c r="D13" s="819"/>
      <c r="E13" s="163">
        <v>22906.639999999999</v>
      </c>
    </row>
    <row r="14" spans="2:14" s="127" customFormat="1" ht="16.5" customHeight="1" thickTop="1" x14ac:dyDescent="0.25">
      <c r="B14" s="820" t="s">
        <v>125</v>
      </c>
      <c r="C14" s="820"/>
      <c r="D14" s="820"/>
      <c r="E14" s="164">
        <f>SUM(E6:E13)</f>
        <v>236133.44</v>
      </c>
    </row>
    <row r="15" spans="2:14" customFormat="1" ht="7.5" customHeight="1" x14ac:dyDescent="0.25">
      <c r="B15" s="27"/>
      <c r="C15" s="27"/>
      <c r="D15" s="27"/>
      <c r="E15" s="27"/>
      <c r="F15" s="27"/>
      <c r="G15" s="27"/>
      <c r="H15" s="27"/>
      <c r="I15" s="457"/>
      <c r="J15" s="27"/>
      <c r="K15" s="27"/>
      <c r="L15" s="27"/>
      <c r="M15" s="27"/>
      <c r="N15" s="27"/>
    </row>
    <row r="16" spans="2:14" s="129" customFormat="1" ht="68.25" thickBot="1" x14ac:dyDescent="0.3">
      <c r="B16" s="153" t="s">
        <v>56</v>
      </c>
      <c r="C16" s="892" t="s">
        <v>548</v>
      </c>
      <c r="D16" s="892" t="s">
        <v>1033</v>
      </c>
      <c r="E16" s="892" t="s">
        <v>1034</v>
      </c>
      <c r="F16" s="892" t="s">
        <v>175</v>
      </c>
      <c r="G16" s="892" t="s">
        <v>176</v>
      </c>
      <c r="H16" s="892" t="s">
        <v>177</v>
      </c>
      <c r="I16" s="892" t="s">
        <v>547</v>
      </c>
      <c r="J16" s="166" t="s">
        <v>125</v>
      </c>
    </row>
    <row r="17" spans="2:14" customFormat="1" ht="15.75" thickTop="1" x14ac:dyDescent="0.25">
      <c r="B17" s="167" t="s">
        <v>62</v>
      </c>
      <c r="C17" s="168">
        <v>0</v>
      </c>
      <c r="D17" s="168">
        <v>314811</v>
      </c>
      <c r="E17" s="168">
        <v>588370.09</v>
      </c>
      <c r="F17" s="168">
        <v>56756.42</v>
      </c>
      <c r="G17" s="168">
        <v>50917.77</v>
      </c>
      <c r="H17" s="168">
        <v>121748</v>
      </c>
      <c r="I17" s="168">
        <v>0</v>
      </c>
      <c r="J17" s="168">
        <f t="shared" ref="J17:J26" si="0">C17+D17+E17+F17+G17+H17+I17</f>
        <v>1132603.28</v>
      </c>
      <c r="K17" s="27"/>
      <c r="L17" s="27"/>
      <c r="M17" s="27"/>
      <c r="N17" s="27"/>
    </row>
    <row r="18" spans="2:14" customFormat="1" ht="15" x14ac:dyDescent="0.25">
      <c r="B18" s="169" t="s">
        <v>63</v>
      </c>
      <c r="C18" s="170">
        <v>0</v>
      </c>
      <c r="D18" s="170">
        <v>103636.24</v>
      </c>
      <c r="E18" s="170">
        <v>207564.74</v>
      </c>
      <c r="F18" s="170">
        <v>19111.87</v>
      </c>
      <c r="G18" s="170">
        <v>16694.98</v>
      </c>
      <c r="H18" s="170">
        <v>42622</v>
      </c>
      <c r="I18" s="170">
        <v>0</v>
      </c>
      <c r="J18" s="170">
        <f t="shared" si="0"/>
        <v>389629.82999999996</v>
      </c>
      <c r="K18" s="27"/>
      <c r="L18" s="27"/>
      <c r="M18" s="27"/>
      <c r="N18" s="27"/>
    </row>
    <row r="19" spans="2:14" customFormat="1" ht="15" x14ac:dyDescent="0.25">
      <c r="B19" s="169" t="s">
        <v>64</v>
      </c>
      <c r="C19" s="170">
        <f t="shared" ref="C19" si="1">SUM(C20:C26)</f>
        <v>0</v>
      </c>
      <c r="D19" s="170">
        <f t="shared" ref="D19:I19" si="2">SUM(D20:D26)</f>
        <v>85438.62</v>
      </c>
      <c r="E19" s="170">
        <f t="shared" si="2"/>
        <v>178226.66</v>
      </c>
      <c r="F19" s="170">
        <f t="shared" si="2"/>
        <v>9483.5300000000007</v>
      </c>
      <c r="G19" s="170">
        <f t="shared" si="2"/>
        <v>173892.62</v>
      </c>
      <c r="H19" s="170">
        <f t="shared" si="2"/>
        <v>14377.78</v>
      </c>
      <c r="I19" s="170">
        <f t="shared" si="2"/>
        <v>318</v>
      </c>
      <c r="J19" s="170">
        <f t="shared" si="0"/>
        <v>461737.21000000008</v>
      </c>
      <c r="K19" s="27"/>
      <c r="L19" s="27"/>
      <c r="M19" s="27"/>
      <c r="N19" s="27"/>
    </row>
    <row r="20" spans="2:14" customFormat="1" ht="15" x14ac:dyDescent="0.25">
      <c r="B20" s="171" t="s">
        <v>81</v>
      </c>
      <c r="C20" s="9"/>
      <c r="D20" s="9">
        <v>36.72</v>
      </c>
      <c r="E20" s="9">
        <v>55.87</v>
      </c>
      <c r="F20" s="9">
        <v>0</v>
      </c>
      <c r="G20" s="9">
        <v>0</v>
      </c>
      <c r="H20" s="9">
        <v>0</v>
      </c>
      <c r="I20" s="9"/>
      <c r="J20" s="9">
        <f t="shared" si="0"/>
        <v>92.59</v>
      </c>
      <c r="K20" s="27"/>
      <c r="L20" s="27"/>
      <c r="M20" s="27"/>
      <c r="N20" s="27"/>
    </row>
    <row r="21" spans="2:14" customFormat="1" ht="15" x14ac:dyDescent="0.25">
      <c r="B21" s="171" t="s">
        <v>65</v>
      </c>
      <c r="C21" s="9"/>
      <c r="D21" s="9">
        <v>42738.18</v>
      </c>
      <c r="E21" s="9">
        <v>81922.66</v>
      </c>
      <c r="F21" s="9">
        <v>2334.83</v>
      </c>
      <c r="G21" s="9">
        <v>3516</v>
      </c>
      <c r="H21" s="9">
        <v>3221</v>
      </c>
      <c r="I21" s="9"/>
      <c r="J21" s="9">
        <f t="shared" si="0"/>
        <v>133732.66999999998</v>
      </c>
      <c r="K21" s="27"/>
      <c r="L21" s="27"/>
      <c r="M21" s="27"/>
      <c r="N21" s="27"/>
    </row>
    <row r="22" spans="2:14" customFormat="1" ht="15" x14ac:dyDescent="0.25">
      <c r="B22" s="171" t="s">
        <v>66</v>
      </c>
      <c r="C22" s="9"/>
      <c r="D22" s="9">
        <v>10596.57</v>
      </c>
      <c r="E22" s="9">
        <v>18921.45</v>
      </c>
      <c r="F22" s="9">
        <v>3510</v>
      </c>
      <c r="G22" s="9">
        <v>141234.79</v>
      </c>
      <c r="H22" s="9">
        <v>7300</v>
      </c>
      <c r="I22" s="9">
        <v>318</v>
      </c>
      <c r="J22" s="9">
        <f t="shared" si="0"/>
        <v>181880.81</v>
      </c>
      <c r="K22" s="27"/>
      <c r="L22" s="27"/>
      <c r="M22" s="27"/>
      <c r="N22" s="27"/>
    </row>
    <row r="23" spans="2:14" s="513" customFormat="1" ht="15" x14ac:dyDescent="0.25">
      <c r="B23" s="171" t="s">
        <v>67</v>
      </c>
      <c r="C23" s="9"/>
      <c r="D23" s="9"/>
      <c r="E23" s="9">
        <v>1206</v>
      </c>
      <c r="F23" s="9">
        <v>0</v>
      </c>
      <c r="G23" s="9">
        <v>0</v>
      </c>
      <c r="H23" s="9">
        <v>0</v>
      </c>
      <c r="I23" s="9"/>
      <c r="J23" s="9">
        <f t="shared" si="0"/>
        <v>1206</v>
      </c>
      <c r="K23" s="514"/>
      <c r="L23" s="514"/>
      <c r="M23" s="514"/>
      <c r="N23" s="514"/>
    </row>
    <row r="24" spans="2:14" customFormat="1" ht="15" x14ac:dyDescent="0.25">
      <c r="B24" s="171" t="s">
        <v>68</v>
      </c>
      <c r="C24" s="9"/>
      <c r="D24" s="9">
        <v>7596.16</v>
      </c>
      <c r="E24" s="9">
        <v>20239.509999999998</v>
      </c>
      <c r="F24" s="9">
        <v>698.52</v>
      </c>
      <c r="G24" s="9">
        <v>1048</v>
      </c>
      <c r="H24" s="9">
        <v>0</v>
      </c>
      <c r="I24" s="9"/>
      <c r="J24" s="9">
        <f t="shared" si="0"/>
        <v>29582.19</v>
      </c>
      <c r="K24" s="27"/>
      <c r="L24" s="27"/>
      <c r="M24" s="27"/>
      <c r="N24" s="27"/>
    </row>
    <row r="25" spans="2:14" customFormat="1" ht="15" x14ac:dyDescent="0.25">
      <c r="B25" s="171" t="s">
        <v>69</v>
      </c>
      <c r="C25" s="9"/>
      <c r="D25" s="9">
        <v>1501.99</v>
      </c>
      <c r="E25" s="9">
        <v>2252.85</v>
      </c>
      <c r="F25" s="9">
        <v>0</v>
      </c>
      <c r="G25" s="9">
        <v>0</v>
      </c>
      <c r="H25" s="9">
        <v>0</v>
      </c>
      <c r="I25" s="9"/>
      <c r="J25" s="9">
        <f t="shared" si="0"/>
        <v>3754.84</v>
      </c>
      <c r="K25" s="27"/>
      <c r="L25" s="27"/>
      <c r="M25" s="27"/>
      <c r="N25" s="27"/>
    </row>
    <row r="26" spans="2:14" customFormat="1" ht="15" x14ac:dyDescent="0.25">
      <c r="B26" s="171" t="s">
        <v>70</v>
      </c>
      <c r="C26" s="9"/>
      <c r="D26" s="9">
        <v>22969</v>
      </c>
      <c r="E26" s="9">
        <v>53628.32</v>
      </c>
      <c r="F26" s="9">
        <v>2940.18</v>
      </c>
      <c r="G26" s="9">
        <v>28093.83</v>
      </c>
      <c r="H26" s="9">
        <v>3856.78</v>
      </c>
      <c r="I26" s="9"/>
      <c r="J26" s="9">
        <f t="shared" si="0"/>
        <v>111488.11</v>
      </c>
      <c r="K26" s="27"/>
      <c r="L26" s="27"/>
      <c r="M26" s="27"/>
      <c r="N26" s="27"/>
    </row>
    <row r="27" spans="2:14" customFormat="1" ht="15.75" thickBot="1" x14ac:dyDescent="0.3">
      <c r="B27" s="172" t="s">
        <v>71</v>
      </c>
      <c r="C27" s="173">
        <v>0</v>
      </c>
      <c r="D27" s="173">
        <v>1785</v>
      </c>
      <c r="E27" s="173">
        <v>1693.83</v>
      </c>
      <c r="F27" s="173">
        <v>480.18</v>
      </c>
      <c r="G27" s="173">
        <v>1349.6</v>
      </c>
      <c r="H27" s="173">
        <v>2881.22</v>
      </c>
      <c r="I27" s="173">
        <v>99.6</v>
      </c>
      <c r="J27" s="173">
        <f>C27+D27+E27+F27+G27+H27+I27</f>
        <v>8289.43</v>
      </c>
      <c r="K27" s="27"/>
      <c r="L27" s="27"/>
      <c r="M27" s="27"/>
      <c r="N27" s="27"/>
    </row>
    <row r="28" spans="2:14" s="513" customFormat="1" ht="15.75" thickTop="1" x14ac:dyDescent="0.25">
      <c r="B28" s="176" t="s">
        <v>180</v>
      </c>
      <c r="C28" s="516"/>
      <c r="D28" s="516"/>
      <c r="E28" s="516"/>
      <c r="F28" s="516"/>
      <c r="G28" s="516"/>
      <c r="H28" s="516">
        <v>10992</v>
      </c>
      <c r="I28" s="516"/>
      <c r="J28" s="516">
        <f t="shared" ref="J28" si="3">C28+D28+E28+F28+G28+H28+I28</f>
        <v>10992</v>
      </c>
      <c r="K28" s="514"/>
      <c r="L28" s="514"/>
      <c r="M28" s="514"/>
      <c r="N28" s="514"/>
    </row>
    <row r="29" spans="2:14" customFormat="1" ht="18.75" customHeight="1" x14ac:dyDescent="0.25">
      <c r="B29" s="174" t="s">
        <v>125</v>
      </c>
      <c r="C29" s="164">
        <f t="shared" ref="C29" si="4">C17+C18+C19+C27</f>
        <v>0</v>
      </c>
      <c r="D29" s="164">
        <f t="shared" ref="D29:I29" si="5">D17+D18+D19+D27</f>
        <v>505670.86</v>
      </c>
      <c r="E29" s="164">
        <f t="shared" si="5"/>
        <v>975855.32</v>
      </c>
      <c r="F29" s="164">
        <f t="shared" si="5"/>
        <v>85831.999999999985</v>
      </c>
      <c r="G29" s="164">
        <f>G17+G18+G19+G27</f>
        <v>242854.97</v>
      </c>
      <c r="H29" s="164">
        <f>H17+H18+H19+H27+H28</f>
        <v>192621</v>
      </c>
      <c r="I29" s="164">
        <f t="shared" si="5"/>
        <v>417.6</v>
      </c>
      <c r="J29" s="164">
        <f>C29+D29+E29+F29+G29+H29+I29</f>
        <v>2003251.75</v>
      </c>
      <c r="K29" s="27"/>
      <c r="L29" s="27"/>
      <c r="M29" s="27"/>
      <c r="N29" s="27"/>
    </row>
    <row r="30" spans="2:14" customFormat="1" ht="18.75" customHeight="1" x14ac:dyDescent="0.25">
      <c r="B30" s="27"/>
      <c r="C30" s="27"/>
      <c r="D30" s="27"/>
      <c r="E30" s="27"/>
      <c r="F30" s="27"/>
      <c r="G30" s="175"/>
      <c r="H30" s="27"/>
      <c r="I30" s="457"/>
      <c r="J30" s="27"/>
      <c r="K30" s="27"/>
      <c r="L30" s="27"/>
      <c r="M30" s="27"/>
      <c r="N30" s="27"/>
    </row>
    <row r="31" spans="2:14" customFormat="1" ht="18" x14ac:dyDescent="0.25">
      <c r="B31" s="152" t="s">
        <v>178</v>
      </c>
      <c r="C31" s="27"/>
      <c r="D31" s="27"/>
      <c r="E31" s="27"/>
      <c r="F31" s="27"/>
      <c r="G31" s="27"/>
      <c r="H31" s="27"/>
      <c r="I31" s="457"/>
      <c r="J31" s="27"/>
      <c r="K31" s="27"/>
      <c r="L31" s="27"/>
      <c r="M31" s="27"/>
      <c r="N31" s="27"/>
    </row>
    <row r="32" spans="2:14" customFormat="1" ht="7.5" customHeight="1" x14ac:dyDescent="0.25">
      <c r="B32" s="27"/>
      <c r="C32" s="27"/>
      <c r="D32" s="27"/>
      <c r="E32" s="27"/>
      <c r="F32" s="27"/>
      <c r="G32" s="27"/>
      <c r="H32" s="27"/>
      <c r="I32" s="457"/>
      <c r="J32" s="27"/>
      <c r="K32" s="27"/>
      <c r="L32" s="27"/>
      <c r="M32" s="27"/>
      <c r="N32" s="27"/>
    </row>
    <row r="33" spans="2:14" s="127" customFormat="1" ht="16.5" customHeight="1" thickBot="1" x14ac:dyDescent="0.3">
      <c r="B33" s="816" t="s">
        <v>129</v>
      </c>
      <c r="C33" s="816"/>
      <c r="D33" s="816"/>
      <c r="E33" s="816"/>
    </row>
    <row r="34" spans="2:14" customFormat="1" ht="15.75" thickTop="1" x14ac:dyDescent="0.25">
      <c r="B34" s="817" t="s">
        <v>169</v>
      </c>
      <c r="C34" s="817"/>
      <c r="D34" s="817"/>
      <c r="E34" s="154">
        <v>1785.8</v>
      </c>
      <c r="F34" s="27"/>
      <c r="G34" s="27"/>
      <c r="H34" s="27"/>
      <c r="I34" s="457"/>
      <c r="J34" s="27"/>
      <c r="K34" s="27"/>
      <c r="L34" s="27"/>
      <c r="M34" s="27"/>
      <c r="N34" s="27"/>
    </row>
    <row r="35" spans="2:14" customFormat="1" ht="15" x14ac:dyDescent="0.25">
      <c r="B35" s="815" t="s">
        <v>170</v>
      </c>
      <c r="C35" s="815"/>
      <c r="D35" s="815"/>
      <c r="E35" s="9">
        <v>18920.14</v>
      </c>
      <c r="F35" s="27"/>
      <c r="G35" s="27"/>
      <c r="H35" s="27"/>
      <c r="I35" s="457"/>
      <c r="J35" s="27"/>
      <c r="K35" s="27"/>
      <c r="L35" s="27"/>
      <c r="M35" s="27"/>
      <c r="N35" s="27"/>
    </row>
    <row r="36" spans="2:14" customFormat="1" ht="15" x14ac:dyDescent="0.25">
      <c r="B36" s="815" t="s">
        <v>171</v>
      </c>
      <c r="C36" s="815"/>
      <c r="D36" s="815"/>
      <c r="E36" s="9">
        <v>9618.82</v>
      </c>
      <c r="F36" s="27"/>
      <c r="G36" s="27"/>
      <c r="H36" s="27"/>
      <c r="I36" s="457"/>
      <c r="J36" s="27"/>
      <c r="K36" s="27"/>
      <c r="L36" s="27"/>
      <c r="M36" s="27"/>
      <c r="N36" s="27"/>
    </row>
    <row r="37" spans="2:14" customFormat="1" ht="15" x14ac:dyDescent="0.25">
      <c r="B37" s="815" t="s">
        <v>133</v>
      </c>
      <c r="C37" s="815"/>
      <c r="D37" s="815"/>
      <c r="E37" s="9">
        <v>45654.48</v>
      </c>
      <c r="F37" s="27"/>
      <c r="G37" s="27"/>
      <c r="H37" s="27"/>
      <c r="I37" s="457"/>
      <c r="J37" s="27"/>
      <c r="K37" s="27"/>
      <c r="L37" s="27"/>
      <c r="M37" s="27"/>
      <c r="N37" s="27"/>
    </row>
    <row r="38" spans="2:14" s="122" customFormat="1" x14ac:dyDescent="0.25">
      <c r="B38" s="818" t="s">
        <v>52</v>
      </c>
      <c r="C38" s="818"/>
      <c r="D38" s="818"/>
      <c r="E38" s="155">
        <v>950.89</v>
      </c>
    </row>
    <row r="39" spans="2:14" s="122" customFormat="1" x14ac:dyDescent="0.25">
      <c r="B39" s="520" t="s">
        <v>172</v>
      </c>
      <c r="C39" s="521"/>
      <c r="D39" s="522"/>
      <c r="E39" s="159">
        <v>1038.93</v>
      </c>
    </row>
    <row r="40" spans="2:14" s="122" customFormat="1" x14ac:dyDescent="0.25">
      <c r="B40" s="156" t="s">
        <v>173</v>
      </c>
      <c r="C40" s="157"/>
      <c r="D40" s="158"/>
      <c r="E40" s="159">
        <v>1466</v>
      </c>
    </row>
    <row r="41" spans="2:14" s="122" customFormat="1" ht="12.75" customHeight="1" x14ac:dyDescent="0.25">
      <c r="B41" s="818" t="s">
        <v>174</v>
      </c>
      <c r="C41" s="818"/>
      <c r="D41" s="818"/>
      <c r="E41" s="159">
        <v>27645</v>
      </c>
    </row>
    <row r="42" spans="2:14" s="122" customFormat="1" ht="12.75" customHeight="1" x14ac:dyDescent="0.25">
      <c r="B42" s="818" t="s">
        <v>179</v>
      </c>
      <c r="C42" s="818"/>
      <c r="D42" s="818"/>
      <c r="E42" s="159">
        <v>0</v>
      </c>
    </row>
    <row r="43" spans="2:14" s="122" customFormat="1" ht="15.75" customHeight="1" thickBot="1" x14ac:dyDescent="0.3">
      <c r="B43" s="819" t="s">
        <v>135</v>
      </c>
      <c r="C43" s="819"/>
      <c r="D43" s="819"/>
      <c r="E43" s="163">
        <v>6261.7</v>
      </c>
    </row>
    <row r="44" spans="2:14" s="127" customFormat="1" ht="18.75" customHeight="1" thickTop="1" x14ac:dyDescent="0.25">
      <c r="B44" s="820" t="s">
        <v>125</v>
      </c>
      <c r="C44" s="820"/>
      <c r="D44" s="820"/>
      <c r="E44" s="164">
        <f>SUM(E34:E43)</f>
        <v>113341.75999999999</v>
      </c>
    </row>
    <row r="45" spans="2:14" customFormat="1" ht="7.5" customHeight="1" x14ac:dyDescent="0.25">
      <c r="B45" s="27"/>
      <c r="C45" s="27"/>
      <c r="D45" s="27"/>
      <c r="E45" s="27"/>
      <c r="F45" s="27"/>
      <c r="G45" s="27"/>
      <c r="H45" s="27"/>
      <c r="I45" s="457"/>
      <c r="J45" s="27"/>
      <c r="K45" s="27"/>
      <c r="L45" s="27"/>
      <c r="M45" s="27"/>
      <c r="N45" s="27"/>
    </row>
    <row r="46" spans="2:14" s="129" customFormat="1" ht="68.25" thickBot="1" x14ac:dyDescent="0.3">
      <c r="B46" s="750" t="s">
        <v>56</v>
      </c>
      <c r="C46" s="892" t="s">
        <v>548</v>
      </c>
      <c r="D46" s="892" t="s">
        <v>1033</v>
      </c>
      <c r="E46" s="892" t="s">
        <v>1034</v>
      </c>
      <c r="F46" s="892" t="s">
        <v>175</v>
      </c>
      <c r="G46" s="892" t="s">
        <v>176</v>
      </c>
      <c r="H46" s="892" t="s">
        <v>177</v>
      </c>
      <c r="I46" s="892" t="s">
        <v>547</v>
      </c>
      <c r="J46" s="166" t="s">
        <v>125</v>
      </c>
    </row>
    <row r="47" spans="2:14" customFormat="1" ht="15.75" thickTop="1" x14ac:dyDescent="0.25">
      <c r="B47" s="167" t="s">
        <v>62</v>
      </c>
      <c r="C47" s="168">
        <v>0</v>
      </c>
      <c r="D47" s="168">
        <v>248205.28</v>
      </c>
      <c r="E47" s="168">
        <v>314004</v>
      </c>
      <c r="F47" s="168">
        <v>29166.79</v>
      </c>
      <c r="G47" s="168">
        <v>29166.78</v>
      </c>
      <c r="H47" s="168">
        <v>66056.39</v>
      </c>
      <c r="I47" s="168">
        <v>0</v>
      </c>
      <c r="J47" s="168">
        <f>C47+D47+E47+F47+G47+H47+I47</f>
        <v>686599.24000000011</v>
      </c>
      <c r="K47" s="27"/>
      <c r="L47" s="27"/>
      <c r="M47" s="27"/>
      <c r="N47" s="27"/>
    </row>
    <row r="48" spans="2:14" customFormat="1" ht="15" x14ac:dyDescent="0.25">
      <c r="B48" s="169" t="s">
        <v>63</v>
      </c>
      <c r="C48" s="170">
        <v>0</v>
      </c>
      <c r="D48" s="170">
        <v>98136</v>
      </c>
      <c r="E48" s="170">
        <v>120984.6</v>
      </c>
      <c r="F48" s="170">
        <v>10547</v>
      </c>
      <c r="G48" s="170">
        <v>10546.94</v>
      </c>
      <c r="H48" s="170">
        <v>23788</v>
      </c>
      <c r="I48" s="170">
        <v>0</v>
      </c>
      <c r="J48" s="170">
        <f t="shared" ref="J48:J60" si="6">C48+D48+E48+F48+G48+H48+I48</f>
        <v>264002.54000000004</v>
      </c>
      <c r="K48" s="27"/>
      <c r="L48" s="27"/>
      <c r="M48" s="27"/>
      <c r="N48" s="27"/>
    </row>
    <row r="49" spans="2:14" customFormat="1" ht="15" x14ac:dyDescent="0.25">
      <c r="B49" s="169" t="s">
        <v>64</v>
      </c>
      <c r="C49" s="170">
        <f t="shared" ref="C49:I49" si="7">SUM(C50:C56)</f>
        <v>0</v>
      </c>
      <c r="D49" s="170">
        <f t="shared" si="7"/>
        <v>58698.44</v>
      </c>
      <c r="E49" s="170">
        <f t="shared" si="7"/>
        <v>91350.06</v>
      </c>
      <c r="F49" s="170">
        <f t="shared" si="7"/>
        <v>52929</v>
      </c>
      <c r="G49" s="170">
        <f t="shared" si="7"/>
        <v>65458.25</v>
      </c>
      <c r="H49" s="170">
        <f t="shared" si="7"/>
        <v>10349.92</v>
      </c>
      <c r="I49" s="170">
        <f t="shared" si="7"/>
        <v>184.55</v>
      </c>
      <c r="J49" s="170">
        <f t="shared" si="6"/>
        <v>278970.21999999997</v>
      </c>
      <c r="K49" s="27"/>
      <c r="L49" s="27"/>
      <c r="M49" s="27"/>
      <c r="N49" s="27"/>
    </row>
    <row r="50" spans="2:14" customFormat="1" ht="15" x14ac:dyDescent="0.25">
      <c r="B50" s="171" t="s">
        <v>81</v>
      </c>
      <c r="C50" s="9"/>
      <c r="D50" s="9">
        <v>227.09</v>
      </c>
      <c r="E50" s="9">
        <v>227.09</v>
      </c>
      <c r="F50" s="9">
        <v>0</v>
      </c>
      <c r="G50" s="9">
        <v>0</v>
      </c>
      <c r="H50" s="9">
        <v>0</v>
      </c>
      <c r="I50" s="9"/>
      <c r="J50" s="9">
        <f t="shared" si="6"/>
        <v>454.18</v>
      </c>
      <c r="K50" s="27"/>
      <c r="L50" s="27"/>
      <c r="M50" s="27"/>
      <c r="N50" s="27"/>
    </row>
    <row r="51" spans="2:14" customFormat="1" ht="15" x14ac:dyDescent="0.25">
      <c r="B51" s="171" t="s">
        <v>65</v>
      </c>
      <c r="C51" s="9"/>
      <c r="D51" s="9">
        <v>11346.05</v>
      </c>
      <c r="E51" s="9">
        <v>14144.9</v>
      </c>
      <c r="F51" s="9">
        <v>14415</v>
      </c>
      <c r="G51" s="9">
        <v>14415</v>
      </c>
      <c r="H51" s="9">
        <v>2220</v>
      </c>
      <c r="I51" s="9"/>
      <c r="J51" s="9">
        <f t="shared" si="6"/>
        <v>56540.95</v>
      </c>
      <c r="K51" s="27"/>
      <c r="L51" s="27"/>
      <c r="M51" s="27"/>
      <c r="N51" s="27"/>
    </row>
    <row r="52" spans="2:14" customFormat="1" ht="15" x14ac:dyDescent="0.25">
      <c r="B52" s="171" t="s">
        <v>66</v>
      </c>
      <c r="C52" s="9"/>
      <c r="D52" s="9">
        <v>11566.5</v>
      </c>
      <c r="E52" s="9">
        <v>21615</v>
      </c>
      <c r="F52" s="9">
        <v>34851.160000000003</v>
      </c>
      <c r="G52" s="9">
        <v>42709.41</v>
      </c>
      <c r="H52" s="9">
        <v>1900</v>
      </c>
      <c r="I52" s="9">
        <v>184.55</v>
      </c>
      <c r="J52" s="9">
        <f t="shared" si="6"/>
        <v>112826.62000000001</v>
      </c>
      <c r="K52" s="27"/>
      <c r="L52" s="27"/>
      <c r="M52" s="27"/>
      <c r="N52" s="27"/>
    </row>
    <row r="53" spans="2:14" customFormat="1" ht="15" x14ac:dyDescent="0.25">
      <c r="B53" s="171" t="s">
        <v>67</v>
      </c>
      <c r="C53" s="9"/>
      <c r="D53" s="9">
        <v>166.7</v>
      </c>
      <c r="E53" s="9">
        <v>0</v>
      </c>
      <c r="F53" s="9">
        <v>0</v>
      </c>
      <c r="G53" s="9">
        <v>0</v>
      </c>
      <c r="H53" s="9">
        <v>0</v>
      </c>
      <c r="I53" s="9"/>
      <c r="J53" s="9">
        <f t="shared" si="6"/>
        <v>166.7</v>
      </c>
      <c r="K53" s="27"/>
      <c r="L53" s="27"/>
      <c r="M53" s="27"/>
      <c r="N53" s="27"/>
    </row>
    <row r="54" spans="2:14" customFormat="1" ht="15" x14ac:dyDescent="0.25">
      <c r="B54" s="171" t="s">
        <v>68</v>
      </c>
      <c r="C54" s="9"/>
      <c r="D54" s="9">
        <v>7300</v>
      </c>
      <c r="E54" s="9">
        <v>7300</v>
      </c>
      <c r="F54" s="9">
        <v>552.84</v>
      </c>
      <c r="G54" s="9">
        <v>552.84</v>
      </c>
      <c r="H54" s="9">
        <v>4529.92</v>
      </c>
      <c r="I54" s="9"/>
      <c r="J54" s="9">
        <f t="shared" si="6"/>
        <v>20235.599999999999</v>
      </c>
      <c r="K54" s="27"/>
      <c r="L54" s="27"/>
      <c r="M54" s="27"/>
      <c r="N54" s="27"/>
    </row>
    <row r="55" spans="2:14" customFormat="1" ht="15" x14ac:dyDescent="0.25">
      <c r="B55" s="171" t="s">
        <v>69</v>
      </c>
      <c r="C55" s="9"/>
      <c r="D55" s="9">
        <v>152.1</v>
      </c>
      <c r="E55" s="9">
        <v>152.1</v>
      </c>
      <c r="F55" s="9">
        <v>0</v>
      </c>
      <c r="G55" s="9">
        <v>0</v>
      </c>
      <c r="H55" s="9">
        <v>0</v>
      </c>
      <c r="I55" s="9"/>
      <c r="J55" s="9">
        <f t="shared" si="6"/>
        <v>304.2</v>
      </c>
      <c r="K55" s="27"/>
      <c r="L55" s="27"/>
      <c r="M55" s="27"/>
      <c r="N55" s="27"/>
    </row>
    <row r="56" spans="2:14" customFormat="1" ht="15" x14ac:dyDescent="0.25">
      <c r="B56" s="171" t="s">
        <v>70</v>
      </c>
      <c r="C56" s="9"/>
      <c r="D56" s="9">
        <v>27940</v>
      </c>
      <c r="E56" s="9">
        <v>47910.97</v>
      </c>
      <c r="F56" s="9">
        <v>3110</v>
      </c>
      <c r="G56" s="9">
        <v>7781</v>
      </c>
      <c r="H56" s="9">
        <v>1700</v>
      </c>
      <c r="I56" s="9"/>
      <c r="J56" s="9">
        <f t="shared" si="6"/>
        <v>88441.97</v>
      </c>
      <c r="K56" s="27"/>
      <c r="L56" s="27"/>
      <c r="M56" s="27"/>
      <c r="N56" s="27"/>
    </row>
    <row r="57" spans="2:14" customFormat="1" ht="15" x14ac:dyDescent="0.25">
      <c r="B57" s="169" t="s">
        <v>71</v>
      </c>
      <c r="C57" s="170">
        <v>0</v>
      </c>
      <c r="D57" s="170">
        <v>3414.72</v>
      </c>
      <c r="E57" s="170">
        <v>3469.17</v>
      </c>
      <c r="F57" s="170">
        <v>374.21</v>
      </c>
      <c r="G57" s="170">
        <v>458.22</v>
      </c>
      <c r="H57" s="170">
        <v>96.61</v>
      </c>
      <c r="I57" s="170">
        <v>0</v>
      </c>
      <c r="J57" s="170">
        <f t="shared" si="6"/>
        <v>7812.9299999999994</v>
      </c>
      <c r="K57" s="27"/>
      <c r="L57" s="27"/>
      <c r="M57" s="27"/>
      <c r="N57" s="27"/>
    </row>
    <row r="58" spans="2:14" customFormat="1" ht="15" x14ac:dyDescent="0.25">
      <c r="B58" s="176" t="s">
        <v>180</v>
      </c>
      <c r="C58" s="177"/>
      <c r="D58" s="177"/>
      <c r="E58" s="177"/>
      <c r="F58" s="177"/>
      <c r="G58" s="177">
        <v>23699.599999999999</v>
      </c>
      <c r="H58" s="177"/>
      <c r="I58" s="177"/>
      <c r="J58" s="170">
        <f t="shared" si="6"/>
        <v>23699.599999999999</v>
      </c>
      <c r="K58" s="27"/>
      <c r="L58" s="27"/>
      <c r="M58" s="27"/>
      <c r="N58" s="27"/>
    </row>
    <row r="59" spans="2:14" customFormat="1" ht="15.75" thickBot="1" x14ac:dyDescent="0.3">
      <c r="B59" s="172" t="s">
        <v>181</v>
      </c>
      <c r="C59" s="173"/>
      <c r="D59" s="173"/>
      <c r="E59" s="173">
        <v>1940.4</v>
      </c>
      <c r="F59" s="173"/>
      <c r="G59" s="173"/>
      <c r="H59" s="173"/>
      <c r="I59" s="173"/>
      <c r="J59" s="173">
        <f t="shared" si="6"/>
        <v>1940.4</v>
      </c>
      <c r="K59" s="27"/>
      <c r="L59" s="27"/>
      <c r="M59" s="27"/>
      <c r="N59" s="27"/>
    </row>
    <row r="60" spans="2:14" customFormat="1" ht="22.5" customHeight="1" thickTop="1" x14ac:dyDescent="0.25">
      <c r="B60" s="174" t="s">
        <v>125</v>
      </c>
      <c r="C60" s="164">
        <f t="shared" ref="C60:I60" si="8">C47+C48+C49+C57+C59+C58</f>
        <v>0</v>
      </c>
      <c r="D60" s="164">
        <f t="shared" si="8"/>
        <v>408454.44</v>
      </c>
      <c r="E60" s="164">
        <f t="shared" si="8"/>
        <v>531748.23</v>
      </c>
      <c r="F60" s="164">
        <f t="shared" si="8"/>
        <v>93017.000000000015</v>
      </c>
      <c r="G60" s="164">
        <f t="shared" si="8"/>
        <v>129329.79000000001</v>
      </c>
      <c r="H60" s="164">
        <f t="shared" si="8"/>
        <v>100290.92</v>
      </c>
      <c r="I60" s="164">
        <f t="shared" si="8"/>
        <v>184.55</v>
      </c>
      <c r="J60" s="164">
        <f t="shared" si="6"/>
        <v>1263024.93</v>
      </c>
      <c r="K60" s="27"/>
      <c r="L60" s="148"/>
      <c r="M60" s="27"/>
      <c r="N60" s="27"/>
    </row>
    <row r="61" spans="2:14" customFormat="1" ht="15" x14ac:dyDescent="0.25">
      <c r="B61" s="27"/>
      <c r="C61" s="27"/>
      <c r="D61" s="27"/>
      <c r="E61" s="27"/>
      <c r="F61" s="27"/>
      <c r="G61" s="27"/>
      <c r="H61" s="27"/>
      <c r="I61" s="457"/>
      <c r="J61" s="27"/>
      <c r="K61" s="27"/>
      <c r="L61" s="27"/>
      <c r="M61" s="27"/>
      <c r="N61" s="27"/>
    </row>
    <row r="62" spans="2:14" customFormat="1" ht="15" x14ac:dyDescent="0.25">
      <c r="B62" s="27"/>
      <c r="C62" s="27"/>
      <c r="D62" s="27"/>
      <c r="E62" s="27"/>
      <c r="F62" s="27"/>
      <c r="G62" s="27"/>
      <c r="H62" s="27"/>
      <c r="I62" s="457"/>
      <c r="J62" s="27"/>
      <c r="K62" s="27"/>
      <c r="L62" s="27"/>
      <c r="M62" s="27"/>
      <c r="N62" s="27"/>
    </row>
    <row r="63" spans="2:14" s="751" customFormat="1" ht="15" x14ac:dyDescent="0.25">
      <c r="B63" s="524"/>
      <c r="C63" s="524"/>
      <c r="D63" s="524"/>
      <c r="E63" s="524"/>
      <c r="F63" s="524"/>
      <c r="G63" s="524"/>
      <c r="H63" s="524"/>
      <c r="I63" s="524"/>
      <c r="J63" s="524"/>
      <c r="K63" s="524"/>
      <c r="L63" s="524"/>
      <c r="M63" s="524"/>
      <c r="N63" s="524"/>
    </row>
    <row r="64" spans="2:14" s="751" customFormat="1" ht="15" x14ac:dyDescent="0.25">
      <c r="B64" s="524"/>
      <c r="C64" s="524"/>
      <c r="D64" s="524"/>
      <c r="E64" s="524"/>
      <c r="F64" s="524"/>
      <c r="G64" s="524"/>
      <c r="H64" s="524"/>
      <c r="I64" s="524"/>
      <c r="J64" s="524"/>
      <c r="K64" s="524"/>
      <c r="L64" s="524"/>
      <c r="M64" s="524"/>
      <c r="N64" s="524"/>
    </row>
    <row r="65" spans="2:14" s="751" customFormat="1" ht="15" x14ac:dyDescent="0.25">
      <c r="B65" s="524"/>
      <c r="C65" s="524"/>
      <c r="D65" s="524"/>
      <c r="E65" s="524"/>
      <c r="F65" s="524"/>
      <c r="G65" s="524"/>
      <c r="H65" s="524"/>
      <c r="I65" s="524"/>
      <c r="J65" s="524"/>
      <c r="K65" s="524"/>
      <c r="L65" s="524"/>
      <c r="M65" s="524"/>
      <c r="N65" s="524"/>
    </row>
    <row r="66" spans="2:14" s="751" customFormat="1" ht="15" x14ac:dyDescent="0.25">
      <c r="B66" s="524"/>
      <c r="C66" s="524"/>
      <c r="D66" s="524"/>
      <c r="E66" s="524"/>
      <c r="F66" s="524"/>
      <c r="G66" s="524"/>
      <c r="H66" s="524"/>
      <c r="I66" s="524"/>
      <c r="J66" s="524"/>
      <c r="K66" s="524"/>
      <c r="L66" s="524"/>
      <c r="M66" s="524"/>
      <c r="N66" s="524"/>
    </row>
    <row r="67" spans="2:14" customFormat="1" ht="18" x14ac:dyDescent="0.25">
      <c r="B67" s="152" t="s">
        <v>182</v>
      </c>
      <c r="C67" s="27"/>
      <c r="D67" s="27"/>
      <c r="E67" s="27"/>
      <c r="F67" s="27"/>
      <c r="G67" s="27"/>
      <c r="H67" s="27"/>
      <c r="I67" s="457"/>
      <c r="J67" s="27"/>
      <c r="K67" s="27"/>
      <c r="L67" s="27"/>
      <c r="M67" s="27"/>
      <c r="N67" s="27"/>
    </row>
    <row r="68" spans="2:14" customFormat="1" ht="7.5" customHeight="1" x14ac:dyDescent="0.25">
      <c r="B68" s="27"/>
      <c r="C68" s="27"/>
      <c r="D68" s="27"/>
      <c r="E68" s="27"/>
      <c r="F68" s="27"/>
      <c r="G68" s="27"/>
      <c r="H68" s="27"/>
      <c r="I68" s="457"/>
      <c r="J68" s="27"/>
      <c r="K68" s="27"/>
      <c r="L68" s="27"/>
      <c r="M68" s="27"/>
      <c r="N68" s="27"/>
    </row>
    <row r="69" spans="2:14" s="127" customFormat="1" ht="17.25" customHeight="1" thickBot="1" x14ac:dyDescent="0.3">
      <c r="B69" s="816" t="s">
        <v>129</v>
      </c>
      <c r="C69" s="816"/>
      <c r="D69" s="816"/>
      <c r="E69" s="816"/>
    </row>
    <row r="70" spans="2:14" customFormat="1" ht="15.75" thickTop="1" x14ac:dyDescent="0.25">
      <c r="B70" s="817" t="s">
        <v>169</v>
      </c>
      <c r="C70" s="817"/>
      <c r="D70" s="817"/>
      <c r="E70" s="154">
        <v>7407.89</v>
      </c>
      <c r="F70" s="27"/>
      <c r="G70" s="27"/>
      <c r="H70" s="27"/>
      <c r="I70" s="457"/>
      <c r="J70" s="27"/>
      <c r="K70" s="27"/>
      <c r="L70" s="27"/>
      <c r="M70" s="27"/>
      <c r="N70" s="27"/>
    </row>
    <row r="71" spans="2:14" customFormat="1" ht="15" x14ac:dyDescent="0.25">
      <c r="B71" s="815" t="s">
        <v>170</v>
      </c>
      <c r="C71" s="815"/>
      <c r="D71" s="815"/>
      <c r="E71" s="9">
        <v>44393.24</v>
      </c>
      <c r="F71" s="27"/>
      <c r="G71" s="27"/>
      <c r="H71" s="27"/>
      <c r="I71" s="457"/>
      <c r="J71" s="27"/>
      <c r="K71" s="27"/>
      <c r="L71" s="27"/>
      <c r="M71" s="27"/>
      <c r="N71" s="27"/>
    </row>
    <row r="72" spans="2:14" customFormat="1" ht="15" x14ac:dyDescent="0.25">
      <c r="B72" s="815" t="s">
        <v>171</v>
      </c>
      <c r="C72" s="815"/>
      <c r="D72" s="815"/>
      <c r="E72" s="9">
        <v>9113.86</v>
      </c>
      <c r="F72" s="27"/>
      <c r="G72" s="27"/>
      <c r="H72" s="27"/>
      <c r="I72" s="457"/>
      <c r="J72" s="27"/>
      <c r="K72" s="27"/>
      <c r="L72" s="27"/>
      <c r="M72" s="27"/>
      <c r="N72" s="27"/>
    </row>
    <row r="73" spans="2:14" s="122" customFormat="1" x14ac:dyDescent="0.25">
      <c r="B73" s="818" t="s">
        <v>133</v>
      </c>
      <c r="C73" s="818"/>
      <c r="D73" s="818"/>
      <c r="E73" s="155">
        <v>86975.42</v>
      </c>
    </row>
    <row r="74" spans="2:14" customFormat="1" ht="15" x14ac:dyDescent="0.25">
      <c r="B74" s="178" t="s">
        <v>173</v>
      </c>
      <c r="C74" s="179"/>
      <c r="D74" s="180"/>
      <c r="E74" s="181">
        <v>10786</v>
      </c>
      <c r="F74" s="27"/>
      <c r="G74" s="27"/>
      <c r="H74" s="27"/>
      <c r="I74" s="457"/>
      <c r="J74" s="27"/>
      <c r="K74" s="27"/>
      <c r="L74" s="27"/>
      <c r="M74" s="27"/>
      <c r="N74" s="27"/>
    </row>
    <row r="75" spans="2:14" customFormat="1" ht="15" x14ac:dyDescent="0.25">
      <c r="B75" s="818" t="s">
        <v>174</v>
      </c>
      <c r="C75" s="818"/>
      <c r="D75" s="818"/>
      <c r="E75" s="181">
        <v>37530</v>
      </c>
      <c r="F75" s="27"/>
      <c r="G75" s="27"/>
      <c r="H75" s="27"/>
      <c r="I75" s="457"/>
      <c r="J75" s="27"/>
      <c r="K75" s="27"/>
      <c r="L75" s="27"/>
      <c r="M75" s="27"/>
      <c r="N75" s="27"/>
    </row>
    <row r="76" spans="2:14" customFormat="1" ht="15.75" thickBot="1" x14ac:dyDescent="0.3">
      <c r="B76" s="182" t="s">
        <v>135</v>
      </c>
      <c r="C76" s="125"/>
      <c r="D76" s="126"/>
      <c r="E76" s="183">
        <v>14282.83</v>
      </c>
      <c r="F76" s="27"/>
      <c r="G76" s="27"/>
      <c r="H76" s="27"/>
      <c r="I76" s="457"/>
      <c r="J76" s="27"/>
      <c r="K76" s="27"/>
      <c r="L76" s="27"/>
      <c r="M76" s="27"/>
      <c r="N76" s="27"/>
    </row>
    <row r="77" spans="2:14" customFormat="1" ht="18.75" customHeight="1" thickTop="1" x14ac:dyDescent="0.25">
      <c r="B77" s="820" t="s">
        <v>125</v>
      </c>
      <c r="C77" s="820"/>
      <c r="D77" s="820"/>
      <c r="E77" s="164">
        <f>SUM(E70:E76)</f>
        <v>210489.24</v>
      </c>
      <c r="F77" s="27"/>
      <c r="G77" s="27"/>
      <c r="H77" s="27"/>
      <c r="I77" s="457"/>
      <c r="J77" s="27"/>
      <c r="K77" s="27"/>
      <c r="L77" s="27"/>
      <c r="M77" s="27"/>
      <c r="N77" s="27"/>
    </row>
    <row r="78" spans="2:14" customFormat="1" ht="9" customHeight="1" x14ac:dyDescent="0.25">
      <c r="B78" s="27"/>
      <c r="C78" s="27"/>
      <c r="D78" s="27"/>
      <c r="E78" s="27"/>
      <c r="F78" s="27"/>
      <c r="G78" s="27"/>
      <c r="H78" s="27"/>
      <c r="I78" s="457"/>
      <c r="J78" s="27"/>
      <c r="K78" s="27"/>
      <c r="L78" s="27"/>
      <c r="M78" s="27"/>
      <c r="N78" s="27"/>
    </row>
    <row r="79" spans="2:14" s="129" customFormat="1" ht="68.25" thickBot="1" x14ac:dyDescent="0.3">
      <c r="B79" s="750" t="s">
        <v>56</v>
      </c>
      <c r="C79" s="892" t="s">
        <v>548</v>
      </c>
      <c r="D79" s="892" t="s">
        <v>1033</v>
      </c>
      <c r="E79" s="892" t="s">
        <v>1034</v>
      </c>
      <c r="F79" s="892" t="s">
        <v>175</v>
      </c>
      <c r="G79" s="892" t="s">
        <v>176</v>
      </c>
      <c r="H79" s="892" t="s">
        <v>177</v>
      </c>
      <c r="I79" s="892" t="s">
        <v>547</v>
      </c>
      <c r="J79" s="166" t="s">
        <v>125</v>
      </c>
    </row>
    <row r="80" spans="2:14" customFormat="1" ht="15.75" thickTop="1" x14ac:dyDescent="0.25">
      <c r="B80" s="167" t="s">
        <v>62</v>
      </c>
      <c r="C80" s="168">
        <v>0</v>
      </c>
      <c r="D80" s="168">
        <v>209141.58</v>
      </c>
      <c r="E80" s="168">
        <v>213412</v>
      </c>
      <c r="F80" s="168">
        <v>35685</v>
      </c>
      <c r="G80" s="168">
        <v>34076</v>
      </c>
      <c r="H80" s="168">
        <v>62296.25</v>
      </c>
      <c r="I80" s="168">
        <v>0</v>
      </c>
      <c r="J80" s="168">
        <f>C80+D80+E80+F80+G80+H80+I80</f>
        <v>554610.82999999996</v>
      </c>
      <c r="K80" s="27"/>
      <c r="L80" s="27"/>
      <c r="M80" s="27"/>
      <c r="N80" s="27"/>
    </row>
    <row r="81" spans="2:14" customFormat="1" ht="15" x14ac:dyDescent="0.25">
      <c r="B81" s="169" t="s">
        <v>63</v>
      </c>
      <c r="C81" s="170">
        <v>0</v>
      </c>
      <c r="D81" s="170">
        <v>67802.210000000006</v>
      </c>
      <c r="E81" s="170">
        <v>79861</v>
      </c>
      <c r="F81" s="170">
        <v>12472</v>
      </c>
      <c r="G81" s="170">
        <v>11561</v>
      </c>
      <c r="H81" s="170">
        <v>21773</v>
      </c>
      <c r="I81" s="170">
        <v>0</v>
      </c>
      <c r="J81" s="170">
        <f t="shared" ref="J81:J91" si="9">C81+D81+E81+F81+G81+H81+I81</f>
        <v>193469.21000000002</v>
      </c>
      <c r="K81" s="27"/>
      <c r="L81" s="27"/>
      <c r="M81" s="27"/>
      <c r="N81" s="27"/>
    </row>
    <row r="82" spans="2:14" customFormat="1" ht="15" x14ac:dyDescent="0.25">
      <c r="B82" s="169" t="s">
        <v>64</v>
      </c>
      <c r="C82" s="170">
        <f>SUM(C83:C88)</f>
        <v>0</v>
      </c>
      <c r="D82" s="170">
        <f>SUM(D83:D88)</f>
        <v>28042.34</v>
      </c>
      <c r="E82" s="170">
        <f>SUM(E83:E88)</f>
        <v>89148.59</v>
      </c>
      <c r="F82" s="170">
        <f>SUM(F83:F88)</f>
        <v>57403.97</v>
      </c>
      <c r="G82" s="170">
        <f>SUM(G83:G88)</f>
        <v>83643.320000000007</v>
      </c>
      <c r="H82" s="170">
        <f>SUM(H83:H88)</f>
        <v>9760</v>
      </c>
      <c r="I82" s="170">
        <f>SUM(I83:I88)</f>
        <v>31005.15</v>
      </c>
      <c r="J82" s="170">
        <f t="shared" si="9"/>
        <v>299003.37</v>
      </c>
      <c r="K82" s="27"/>
      <c r="L82" s="27"/>
      <c r="M82" s="27"/>
      <c r="N82" s="27"/>
    </row>
    <row r="83" spans="2:14" customFormat="1" ht="15" x14ac:dyDescent="0.25">
      <c r="B83" s="171" t="s">
        <v>81</v>
      </c>
      <c r="C83" s="9"/>
      <c r="D83" s="9">
        <v>54.93</v>
      </c>
      <c r="E83" s="9">
        <v>71.930000000000007</v>
      </c>
      <c r="F83" s="9">
        <v>0</v>
      </c>
      <c r="G83" s="9">
        <v>0</v>
      </c>
      <c r="H83" s="9">
        <v>0</v>
      </c>
      <c r="I83" s="9"/>
      <c r="J83" s="9">
        <f t="shared" si="9"/>
        <v>126.86000000000001</v>
      </c>
      <c r="K83" s="27"/>
      <c r="L83" s="27"/>
      <c r="M83" s="27"/>
      <c r="N83" s="27"/>
    </row>
    <row r="84" spans="2:14" customFormat="1" ht="15" x14ac:dyDescent="0.25">
      <c r="B84" s="171" t="s">
        <v>65</v>
      </c>
      <c r="C84" s="9"/>
      <c r="D84" s="9">
        <v>8187.92</v>
      </c>
      <c r="E84" s="9">
        <v>53363.25</v>
      </c>
      <c r="F84" s="9">
        <v>11049.99</v>
      </c>
      <c r="G84" s="9">
        <v>11050.03</v>
      </c>
      <c r="H84" s="9">
        <v>3000</v>
      </c>
      <c r="I84" s="9"/>
      <c r="J84" s="9">
        <f t="shared" si="9"/>
        <v>86651.19</v>
      </c>
      <c r="K84" s="27"/>
      <c r="L84" s="27"/>
      <c r="M84" s="27"/>
      <c r="N84" s="27"/>
    </row>
    <row r="85" spans="2:14" customFormat="1" ht="15" x14ac:dyDescent="0.25">
      <c r="B85" s="171" t="s">
        <v>66</v>
      </c>
      <c r="C85" s="9"/>
      <c r="D85" s="9">
        <v>5854.91</v>
      </c>
      <c r="E85" s="9">
        <v>15882.29</v>
      </c>
      <c r="F85" s="9">
        <v>34614</v>
      </c>
      <c r="G85" s="9">
        <v>44701.29</v>
      </c>
      <c r="H85" s="9">
        <v>1060</v>
      </c>
      <c r="I85" s="9">
        <v>31005.15</v>
      </c>
      <c r="J85" s="9">
        <f t="shared" si="9"/>
        <v>133117.63999999998</v>
      </c>
      <c r="K85" s="27"/>
      <c r="L85" s="27"/>
      <c r="M85" s="27"/>
      <c r="N85" s="27"/>
    </row>
    <row r="86" spans="2:14" customFormat="1" ht="15" x14ac:dyDescent="0.25">
      <c r="B86" s="171" t="s">
        <v>68</v>
      </c>
      <c r="C86" s="9"/>
      <c r="D86" s="9">
        <v>221.98</v>
      </c>
      <c r="E86" s="9">
        <v>221.98</v>
      </c>
      <c r="F86" s="9">
        <v>5924</v>
      </c>
      <c r="G86" s="9">
        <v>5924.02</v>
      </c>
      <c r="H86" s="9">
        <v>0</v>
      </c>
      <c r="I86" s="9"/>
      <c r="J86" s="9">
        <f t="shared" si="9"/>
        <v>12291.98</v>
      </c>
      <c r="K86" s="27"/>
      <c r="L86" s="27"/>
      <c r="M86" s="27"/>
      <c r="N86" s="27"/>
    </row>
    <row r="87" spans="2:14" customFormat="1" ht="15" x14ac:dyDescent="0.25">
      <c r="B87" s="171" t="s">
        <v>69</v>
      </c>
      <c r="C87" s="9"/>
      <c r="D87" s="9">
        <v>12.6</v>
      </c>
      <c r="E87" s="9">
        <v>12.6</v>
      </c>
      <c r="F87" s="9">
        <v>195.98</v>
      </c>
      <c r="G87" s="9">
        <v>195.98</v>
      </c>
      <c r="H87" s="9">
        <v>0</v>
      </c>
      <c r="I87" s="9"/>
      <c r="J87" s="9">
        <f t="shared" si="9"/>
        <v>417.15999999999997</v>
      </c>
      <c r="K87" s="27"/>
      <c r="L87" s="27"/>
      <c r="M87" s="27"/>
      <c r="N87" s="27"/>
    </row>
    <row r="88" spans="2:14" customFormat="1" ht="15" x14ac:dyDescent="0.25">
      <c r="B88" s="171" t="s">
        <v>70</v>
      </c>
      <c r="C88" s="9"/>
      <c r="D88" s="9">
        <v>13710</v>
      </c>
      <c r="E88" s="9">
        <v>19596.54</v>
      </c>
      <c r="F88" s="9">
        <v>5620</v>
      </c>
      <c r="G88" s="9">
        <v>21772</v>
      </c>
      <c r="H88" s="9">
        <v>5700</v>
      </c>
      <c r="I88" s="9"/>
      <c r="J88" s="9">
        <f t="shared" si="9"/>
        <v>66398.540000000008</v>
      </c>
      <c r="K88" s="27"/>
      <c r="L88" s="27"/>
      <c r="M88" s="27"/>
      <c r="N88" s="27"/>
    </row>
    <row r="89" spans="2:14" customFormat="1" ht="15.75" thickBot="1" x14ac:dyDescent="0.3">
      <c r="B89" s="172" t="s">
        <v>71</v>
      </c>
      <c r="C89" s="173">
        <v>0</v>
      </c>
      <c r="D89" s="173">
        <v>206.5</v>
      </c>
      <c r="E89" s="173">
        <v>1075.3399999999999</v>
      </c>
      <c r="F89" s="173">
        <v>0</v>
      </c>
      <c r="G89" s="173">
        <v>236.53</v>
      </c>
      <c r="H89" s="173">
        <v>218.65</v>
      </c>
      <c r="I89" s="173"/>
      <c r="J89" s="173">
        <f t="shared" si="9"/>
        <v>1737.02</v>
      </c>
      <c r="K89" s="27"/>
      <c r="L89" s="27"/>
      <c r="M89" s="27"/>
      <c r="N89" s="27"/>
    </row>
    <row r="90" spans="2:14" s="456" customFormat="1" ht="26.25" thickTop="1" x14ac:dyDescent="0.25">
      <c r="B90" s="515" t="s">
        <v>550</v>
      </c>
      <c r="C90" s="516"/>
      <c r="D90" s="516"/>
      <c r="E90" s="516"/>
      <c r="F90" s="516">
        <v>6000</v>
      </c>
      <c r="G90" s="516"/>
      <c r="H90" s="516"/>
      <c r="I90" s="516"/>
      <c r="J90" s="516">
        <f t="shared" si="9"/>
        <v>6000</v>
      </c>
      <c r="K90" s="457"/>
      <c r="L90" s="457"/>
      <c r="M90" s="457"/>
      <c r="N90" s="457"/>
    </row>
    <row r="91" spans="2:14" customFormat="1" ht="22.5" customHeight="1" x14ac:dyDescent="0.25">
      <c r="B91" s="653" t="s">
        <v>125</v>
      </c>
      <c r="C91" s="654">
        <f>C80+C81+C82+C89</f>
        <v>0</v>
      </c>
      <c r="D91" s="654">
        <f>D80+D81+D82+D89</f>
        <v>305192.63</v>
      </c>
      <c r="E91" s="654">
        <f>E80+E81+E82+E89</f>
        <v>383496.93</v>
      </c>
      <c r="F91" s="654">
        <f>F80+F81+F82+F89+F90</f>
        <v>111560.97</v>
      </c>
      <c r="G91" s="654">
        <f>G80+G81+G82+G89</f>
        <v>129516.85</v>
      </c>
      <c r="H91" s="654">
        <f>H80+H81+H82+H89</f>
        <v>94047.9</v>
      </c>
      <c r="I91" s="654">
        <f>I80+I81+I82+I89</f>
        <v>31005.15</v>
      </c>
      <c r="J91" s="654">
        <f t="shared" si="9"/>
        <v>1054820.43</v>
      </c>
      <c r="K91" s="27"/>
      <c r="L91" s="27"/>
      <c r="M91" s="27"/>
      <c r="N91" s="27"/>
    </row>
    <row r="92" spans="2:14" customFormat="1" ht="15" x14ac:dyDescent="0.25">
      <c r="B92" s="27"/>
      <c r="C92" s="27"/>
      <c r="D92" s="27"/>
      <c r="E92" s="27"/>
      <c r="F92" s="27"/>
      <c r="G92" s="27"/>
      <c r="H92" s="27"/>
      <c r="I92" s="457"/>
      <c r="J92" s="27"/>
      <c r="K92" s="27"/>
      <c r="L92" s="27"/>
      <c r="M92" s="27"/>
      <c r="N92" s="27"/>
    </row>
    <row r="93" spans="2:14" customFormat="1" ht="18" x14ac:dyDescent="0.25">
      <c r="B93" s="152" t="s">
        <v>183</v>
      </c>
      <c r="C93" s="27"/>
      <c r="D93" s="27"/>
      <c r="E93" s="27"/>
      <c r="F93" s="27"/>
      <c r="G93" s="27"/>
      <c r="H93" s="27"/>
      <c r="I93" s="457"/>
      <c r="J93" s="27"/>
      <c r="K93" s="27"/>
      <c r="L93" s="27"/>
      <c r="M93" s="27"/>
      <c r="N93" s="27"/>
    </row>
    <row r="94" spans="2:14" customFormat="1" ht="7.5" customHeight="1" x14ac:dyDescent="0.25">
      <c r="B94" s="27"/>
      <c r="C94" s="27"/>
      <c r="D94" s="27"/>
      <c r="E94" s="27"/>
      <c r="F94" s="27"/>
      <c r="G94" s="27"/>
      <c r="H94" s="27"/>
      <c r="I94" s="457"/>
      <c r="J94" s="27"/>
      <c r="K94" s="27"/>
      <c r="L94" s="27"/>
      <c r="M94" s="27"/>
      <c r="N94" s="27"/>
    </row>
    <row r="95" spans="2:14" customFormat="1" ht="16.5" customHeight="1" thickBot="1" x14ac:dyDescent="0.3">
      <c r="B95" s="816" t="s">
        <v>129</v>
      </c>
      <c r="C95" s="816"/>
      <c r="D95" s="816"/>
      <c r="E95" s="816"/>
      <c r="F95" s="27"/>
      <c r="G95" s="27"/>
      <c r="H95" s="27"/>
      <c r="I95" s="457"/>
      <c r="J95" s="27"/>
      <c r="K95" s="27"/>
      <c r="L95" s="27"/>
      <c r="M95" s="27"/>
      <c r="N95" s="27"/>
    </row>
    <row r="96" spans="2:14" customFormat="1" ht="15.75" thickTop="1" x14ac:dyDescent="0.25">
      <c r="B96" s="817" t="s">
        <v>169</v>
      </c>
      <c r="C96" s="817"/>
      <c r="D96" s="817"/>
      <c r="E96" s="154">
        <v>1328.38</v>
      </c>
      <c r="F96" s="27"/>
      <c r="G96" s="27"/>
      <c r="H96" s="27"/>
      <c r="I96" s="457"/>
      <c r="J96" s="27"/>
      <c r="K96" s="27"/>
      <c r="L96" s="27"/>
      <c r="M96" s="27"/>
      <c r="N96" s="27"/>
    </row>
    <row r="97" spans="2:14" customFormat="1" ht="15" x14ac:dyDescent="0.25">
      <c r="B97" s="815" t="s">
        <v>170</v>
      </c>
      <c r="C97" s="815"/>
      <c r="D97" s="815"/>
      <c r="E97" s="9">
        <v>28587.040000000001</v>
      </c>
      <c r="F97" s="27"/>
      <c r="G97" s="27"/>
      <c r="H97" s="27"/>
      <c r="I97" s="457"/>
      <c r="J97" s="27"/>
      <c r="K97" s="27"/>
      <c r="L97" s="27"/>
      <c r="M97" s="27"/>
      <c r="N97" s="27"/>
    </row>
    <row r="98" spans="2:14" customFormat="1" ht="15" x14ac:dyDescent="0.25">
      <c r="B98" s="815" t="s">
        <v>171</v>
      </c>
      <c r="C98" s="815"/>
      <c r="D98" s="815"/>
      <c r="E98" s="9">
        <v>14194.31</v>
      </c>
      <c r="F98" s="27"/>
      <c r="G98" s="27"/>
      <c r="H98" s="27"/>
      <c r="I98" s="457"/>
      <c r="J98" s="27"/>
      <c r="K98" s="27"/>
      <c r="L98" s="27"/>
      <c r="M98" s="27"/>
      <c r="N98" s="27"/>
    </row>
    <row r="99" spans="2:14" s="122" customFormat="1" x14ac:dyDescent="0.25">
      <c r="B99" s="818" t="s">
        <v>133</v>
      </c>
      <c r="C99" s="818"/>
      <c r="D99" s="818"/>
      <c r="E99" s="155">
        <v>58912.42</v>
      </c>
    </row>
    <row r="100" spans="2:14" customFormat="1" ht="15" x14ac:dyDescent="0.25">
      <c r="B100" s="821" t="s">
        <v>52</v>
      </c>
      <c r="C100" s="821"/>
      <c r="D100" s="821"/>
      <c r="E100" s="181">
        <v>495.59</v>
      </c>
      <c r="F100" s="27"/>
      <c r="G100" s="27"/>
      <c r="H100" s="27"/>
      <c r="I100" s="457"/>
      <c r="J100" s="27"/>
      <c r="K100" s="27"/>
      <c r="L100" s="27"/>
      <c r="M100" s="27"/>
      <c r="N100" s="27"/>
    </row>
    <row r="101" spans="2:14" customFormat="1" ht="15" x14ac:dyDescent="0.25">
      <c r="B101" s="184" t="s">
        <v>172</v>
      </c>
      <c r="C101" s="35"/>
      <c r="D101" s="185"/>
      <c r="E101" s="186">
        <v>0</v>
      </c>
      <c r="F101" s="27"/>
      <c r="G101" s="27"/>
      <c r="H101" s="27"/>
      <c r="I101" s="457"/>
      <c r="J101" s="27"/>
      <c r="K101" s="27"/>
      <c r="L101" s="27"/>
      <c r="M101" s="27"/>
      <c r="N101" s="27"/>
    </row>
    <row r="102" spans="2:14" customFormat="1" ht="15" x14ac:dyDescent="0.25">
      <c r="B102" s="822" t="s">
        <v>173</v>
      </c>
      <c r="C102" s="822"/>
      <c r="D102" s="822"/>
      <c r="E102" s="181">
        <v>896.76</v>
      </c>
      <c r="F102" s="27"/>
      <c r="G102" s="27"/>
      <c r="H102" s="27"/>
      <c r="I102" s="457"/>
      <c r="J102" s="27"/>
      <c r="K102" s="27"/>
      <c r="L102" s="27"/>
      <c r="M102" s="27"/>
      <c r="N102" s="27"/>
    </row>
    <row r="103" spans="2:14" s="456" customFormat="1" ht="15" x14ac:dyDescent="0.25">
      <c r="B103" s="517" t="s">
        <v>551</v>
      </c>
      <c r="C103" s="517"/>
      <c r="D103" s="517"/>
      <c r="E103" s="186">
        <v>13925</v>
      </c>
      <c r="F103" s="457"/>
      <c r="G103" s="457"/>
      <c r="H103" s="457"/>
      <c r="I103" s="457"/>
      <c r="J103" s="457"/>
      <c r="K103" s="457"/>
      <c r="L103" s="457"/>
      <c r="M103" s="457"/>
      <c r="N103" s="457"/>
    </row>
    <row r="104" spans="2:14" customFormat="1" ht="15.75" thickBot="1" x14ac:dyDescent="0.3">
      <c r="B104" s="823" t="s">
        <v>135</v>
      </c>
      <c r="C104" s="823"/>
      <c r="D104" s="823"/>
      <c r="E104" s="183">
        <v>12925.21</v>
      </c>
      <c r="F104" s="27"/>
      <c r="G104" s="27"/>
      <c r="H104" s="27"/>
      <c r="I104" s="457"/>
      <c r="J104" s="27"/>
      <c r="K104" s="27"/>
      <c r="L104" s="27"/>
      <c r="M104" s="27"/>
      <c r="N104" s="27"/>
    </row>
    <row r="105" spans="2:14" customFormat="1" ht="18" customHeight="1" thickTop="1" x14ac:dyDescent="0.25">
      <c r="B105" s="820" t="s">
        <v>125</v>
      </c>
      <c r="C105" s="820"/>
      <c r="D105" s="820"/>
      <c r="E105" s="164">
        <f>SUM(E96:E104)</f>
        <v>131264.71</v>
      </c>
      <c r="F105" s="27"/>
      <c r="G105" s="27"/>
      <c r="H105" s="27"/>
      <c r="I105" s="457"/>
      <c r="J105" s="27"/>
      <c r="K105" s="27"/>
      <c r="L105" s="27"/>
      <c r="M105" s="27"/>
      <c r="N105" s="27"/>
    </row>
    <row r="107" spans="2:14" s="129" customFormat="1" ht="68.25" thickBot="1" x14ac:dyDescent="0.3">
      <c r="B107" s="750" t="s">
        <v>56</v>
      </c>
      <c r="C107" s="892" t="s">
        <v>548</v>
      </c>
      <c r="D107" s="892" t="s">
        <v>1033</v>
      </c>
      <c r="E107" s="892" t="s">
        <v>1034</v>
      </c>
      <c r="F107" s="892" t="s">
        <v>175</v>
      </c>
      <c r="G107" s="892" t="s">
        <v>176</v>
      </c>
      <c r="H107" s="892" t="s">
        <v>177</v>
      </c>
      <c r="I107" s="892" t="s">
        <v>547</v>
      </c>
      <c r="J107" s="166" t="s">
        <v>125</v>
      </c>
    </row>
    <row r="108" spans="2:14" customFormat="1" ht="15.75" thickTop="1" x14ac:dyDescent="0.25">
      <c r="B108" s="167" t="s">
        <v>62</v>
      </c>
      <c r="C108" s="168">
        <v>0</v>
      </c>
      <c r="D108" s="168">
        <v>247725.06</v>
      </c>
      <c r="E108" s="168">
        <v>348451.16</v>
      </c>
      <c r="F108" s="168">
        <v>29727.439999999999</v>
      </c>
      <c r="G108" s="168">
        <v>35429.14</v>
      </c>
      <c r="H108" s="168">
        <v>98504.09</v>
      </c>
      <c r="I108" s="168">
        <v>0</v>
      </c>
      <c r="J108" s="168">
        <f t="shared" ref="J108:J119" si="10">C108+D108+E108+F108+G108+H108</f>
        <v>759836.8899999999</v>
      </c>
      <c r="K108" s="27"/>
      <c r="L108" s="27"/>
      <c r="M108" s="27"/>
      <c r="N108" s="27"/>
    </row>
    <row r="109" spans="2:14" customFormat="1" ht="15" x14ac:dyDescent="0.25">
      <c r="B109" s="169" t="s">
        <v>63</v>
      </c>
      <c r="C109" s="170">
        <v>0</v>
      </c>
      <c r="D109" s="170">
        <v>86233.2</v>
      </c>
      <c r="E109" s="170">
        <v>120304.2</v>
      </c>
      <c r="F109" s="170">
        <v>10096.66</v>
      </c>
      <c r="G109" s="170">
        <v>12022.55</v>
      </c>
      <c r="H109" s="170">
        <v>33327.160000000003</v>
      </c>
      <c r="I109" s="170">
        <v>0</v>
      </c>
      <c r="J109" s="170">
        <f t="shared" si="10"/>
        <v>261983.77</v>
      </c>
      <c r="K109" s="27"/>
      <c r="L109" s="27"/>
      <c r="M109" s="27"/>
      <c r="N109" s="27"/>
    </row>
    <row r="110" spans="2:14" customFormat="1" ht="15" x14ac:dyDescent="0.25">
      <c r="B110" s="169" t="s">
        <v>64</v>
      </c>
      <c r="C110" s="170">
        <f t="shared" ref="C110:I110" si="11">SUM(C111:C116)</f>
        <v>0</v>
      </c>
      <c r="D110" s="170">
        <f t="shared" si="11"/>
        <v>48616.55</v>
      </c>
      <c r="E110" s="170">
        <f t="shared" si="11"/>
        <v>86041.21</v>
      </c>
      <c r="F110" s="170">
        <f t="shared" si="11"/>
        <v>61529.389999999992</v>
      </c>
      <c r="G110" s="170">
        <f t="shared" si="11"/>
        <v>62188.59</v>
      </c>
      <c r="H110" s="170">
        <f t="shared" si="11"/>
        <v>15750</v>
      </c>
      <c r="I110" s="170">
        <f t="shared" si="11"/>
        <v>145</v>
      </c>
      <c r="J110" s="170">
        <f t="shared" si="10"/>
        <v>274125.74</v>
      </c>
      <c r="K110" s="27"/>
      <c r="L110" s="27"/>
      <c r="M110" s="27"/>
      <c r="N110" s="27"/>
    </row>
    <row r="111" spans="2:14" customFormat="1" ht="15" x14ac:dyDescent="0.25">
      <c r="B111" s="171" t="s">
        <v>81</v>
      </c>
      <c r="C111" s="9"/>
      <c r="D111" s="9">
        <v>0</v>
      </c>
      <c r="E111" s="9">
        <v>4925.74</v>
      </c>
      <c r="F111" s="9">
        <v>0</v>
      </c>
      <c r="G111" s="9">
        <v>0</v>
      </c>
      <c r="H111" s="9">
        <v>0</v>
      </c>
      <c r="I111" s="9"/>
      <c r="J111" s="9">
        <f t="shared" si="10"/>
        <v>4925.74</v>
      </c>
      <c r="K111" s="27"/>
      <c r="L111" s="27"/>
      <c r="M111" s="27"/>
      <c r="N111" s="27"/>
    </row>
    <row r="112" spans="2:14" customFormat="1" ht="15" x14ac:dyDescent="0.25">
      <c r="B112" s="171" t="s">
        <v>65</v>
      </c>
      <c r="C112" s="9"/>
      <c r="D112" s="9">
        <v>28371.19</v>
      </c>
      <c r="E112" s="9">
        <v>23096.639999999999</v>
      </c>
      <c r="F112" s="9">
        <v>5662</v>
      </c>
      <c r="G112" s="9">
        <v>5662.73</v>
      </c>
      <c r="H112" s="9">
        <v>12730</v>
      </c>
      <c r="I112" s="9"/>
      <c r="J112" s="9">
        <f t="shared" si="10"/>
        <v>75522.559999999998</v>
      </c>
      <c r="K112" s="27"/>
      <c r="L112" s="27"/>
      <c r="M112" s="27"/>
      <c r="N112" s="27"/>
    </row>
    <row r="113" spans="2:14" customFormat="1" ht="15" x14ac:dyDescent="0.25">
      <c r="B113" s="171" t="s">
        <v>66</v>
      </c>
      <c r="C113" s="9"/>
      <c r="D113" s="9">
        <v>6589.58</v>
      </c>
      <c r="E113" s="9">
        <v>21318.12</v>
      </c>
      <c r="F113" s="9">
        <v>45031.199999999997</v>
      </c>
      <c r="G113" s="9">
        <v>43459.39</v>
      </c>
      <c r="H113" s="9">
        <v>1027</v>
      </c>
      <c r="I113" s="9">
        <v>145</v>
      </c>
      <c r="J113" s="9">
        <f t="shared" si="10"/>
        <v>117425.29</v>
      </c>
      <c r="K113" s="27"/>
      <c r="L113" s="27"/>
      <c r="M113" s="27"/>
      <c r="N113" s="27"/>
    </row>
    <row r="114" spans="2:14" customFormat="1" ht="15" x14ac:dyDescent="0.25">
      <c r="B114" s="171" t="s">
        <v>67</v>
      </c>
      <c r="C114" s="9"/>
      <c r="D114" s="9">
        <v>431</v>
      </c>
      <c r="E114" s="9">
        <v>2960.82</v>
      </c>
      <c r="F114" s="9">
        <v>0</v>
      </c>
      <c r="G114" s="9">
        <v>0</v>
      </c>
      <c r="H114" s="9">
        <v>0</v>
      </c>
      <c r="I114" s="9"/>
      <c r="J114" s="9">
        <f t="shared" si="10"/>
        <v>3391.82</v>
      </c>
      <c r="K114" s="27"/>
      <c r="L114" s="27"/>
      <c r="M114" s="27"/>
      <c r="N114" s="27"/>
    </row>
    <row r="115" spans="2:14" customFormat="1" ht="15" x14ac:dyDescent="0.25">
      <c r="B115" s="171" t="s">
        <v>68</v>
      </c>
      <c r="C115" s="9"/>
      <c r="D115" s="9">
        <v>712.8</v>
      </c>
      <c r="E115" s="9">
        <v>15507.67</v>
      </c>
      <c r="F115" s="9">
        <v>571.27</v>
      </c>
      <c r="G115" s="9">
        <v>571.27</v>
      </c>
      <c r="H115" s="9">
        <v>0</v>
      </c>
      <c r="I115" s="9"/>
      <c r="J115" s="9">
        <f t="shared" si="10"/>
        <v>17363.009999999998</v>
      </c>
      <c r="K115" s="27"/>
      <c r="L115" s="27"/>
      <c r="M115" s="27"/>
      <c r="N115" s="27"/>
    </row>
    <row r="116" spans="2:14" customFormat="1" ht="15" x14ac:dyDescent="0.25">
      <c r="B116" s="171" t="s">
        <v>70</v>
      </c>
      <c r="C116" s="9"/>
      <c r="D116" s="9">
        <v>12511.98</v>
      </c>
      <c r="E116" s="9">
        <v>18232.22</v>
      </c>
      <c r="F116" s="9">
        <v>10264.92</v>
      </c>
      <c r="G116" s="9">
        <v>12495.2</v>
      </c>
      <c r="H116" s="9">
        <v>1993</v>
      </c>
      <c r="I116" s="9"/>
      <c r="J116" s="9">
        <f t="shared" si="10"/>
        <v>55497.320000000007</v>
      </c>
      <c r="K116" s="27"/>
      <c r="L116" s="27"/>
      <c r="M116" s="27"/>
      <c r="N116" s="27"/>
    </row>
    <row r="117" spans="2:14" customFormat="1" ht="15.75" thickBot="1" x14ac:dyDescent="0.3">
      <c r="B117" s="172" t="s">
        <v>71</v>
      </c>
      <c r="C117" s="173">
        <v>0</v>
      </c>
      <c r="D117" s="173">
        <v>1720.5</v>
      </c>
      <c r="E117" s="173">
        <v>925.59</v>
      </c>
      <c r="F117" s="173">
        <v>215.9</v>
      </c>
      <c r="G117" s="173">
        <v>396.91</v>
      </c>
      <c r="H117" s="173">
        <v>644.75</v>
      </c>
      <c r="I117" s="173">
        <v>0</v>
      </c>
      <c r="J117" s="173">
        <f t="shared" si="10"/>
        <v>3903.65</v>
      </c>
      <c r="K117" s="27"/>
      <c r="L117" s="27"/>
      <c r="M117" s="27"/>
      <c r="N117" s="27"/>
    </row>
    <row r="118" spans="2:14" s="456" customFormat="1" ht="26.25" thickTop="1" x14ac:dyDescent="0.25">
      <c r="B118" s="518" t="s">
        <v>550</v>
      </c>
      <c r="C118" s="519"/>
      <c r="D118" s="519"/>
      <c r="E118" s="519"/>
      <c r="F118" s="519"/>
      <c r="G118" s="519">
        <v>13963.27</v>
      </c>
      <c r="H118" s="519"/>
      <c r="I118" s="519">
        <v>0</v>
      </c>
      <c r="J118" s="519"/>
      <c r="K118" s="457"/>
      <c r="L118" s="457"/>
      <c r="M118" s="457"/>
      <c r="N118" s="457"/>
    </row>
    <row r="119" spans="2:14" s="456" customFormat="1" ht="25.5" x14ac:dyDescent="0.25">
      <c r="B119" s="515" t="s">
        <v>552</v>
      </c>
      <c r="C119" s="516">
        <v>0</v>
      </c>
      <c r="D119" s="516">
        <v>0</v>
      </c>
      <c r="E119" s="516">
        <v>4999</v>
      </c>
      <c r="F119" s="516">
        <v>0</v>
      </c>
      <c r="G119" s="516">
        <v>0</v>
      </c>
      <c r="H119" s="516">
        <v>0</v>
      </c>
      <c r="I119" s="516">
        <v>0</v>
      </c>
      <c r="J119" s="516">
        <f t="shared" si="10"/>
        <v>4999</v>
      </c>
      <c r="K119" s="457"/>
      <c r="L119" s="457"/>
      <c r="M119" s="457"/>
      <c r="N119" s="457"/>
    </row>
    <row r="120" spans="2:14" customFormat="1" ht="21" customHeight="1" x14ac:dyDescent="0.25">
      <c r="B120" s="174" t="s">
        <v>125</v>
      </c>
      <c r="C120" s="164">
        <f t="shared" ref="C120:D120" si="12">C108+C109+C110+C117+C118</f>
        <v>0</v>
      </c>
      <c r="D120" s="164">
        <f t="shared" si="12"/>
        <v>384295.31</v>
      </c>
      <c r="E120" s="164">
        <f>E108+E109+E110+E117+E118+E119</f>
        <v>560721.15999999992</v>
      </c>
      <c r="F120" s="164">
        <f t="shared" ref="F120:I120" si="13">F108+F109+F110+F117+F118+F119</f>
        <v>101569.38999999998</v>
      </c>
      <c r="G120" s="164">
        <f t="shared" si="13"/>
        <v>124000.46</v>
      </c>
      <c r="H120" s="164">
        <f t="shared" si="13"/>
        <v>148226</v>
      </c>
      <c r="I120" s="164">
        <f t="shared" si="13"/>
        <v>145</v>
      </c>
      <c r="J120" s="164">
        <f>C120+D120+E120+F120+G120+H120+I120</f>
        <v>1318957.32</v>
      </c>
      <c r="K120" s="27"/>
      <c r="L120" s="27"/>
      <c r="M120" s="27"/>
      <c r="N120" s="27"/>
    </row>
    <row r="121" spans="2:14" customFormat="1" ht="15" x14ac:dyDescent="0.25">
      <c r="B121" s="27"/>
      <c r="C121" s="27"/>
      <c r="D121" s="27"/>
      <c r="E121" s="27"/>
      <c r="F121" s="27"/>
      <c r="G121" s="27"/>
      <c r="H121" s="27"/>
      <c r="I121" s="457"/>
      <c r="J121" s="27"/>
      <c r="K121" s="27"/>
      <c r="L121" s="27"/>
      <c r="M121" s="27"/>
      <c r="N121" s="27"/>
    </row>
    <row r="122" spans="2:14" customFormat="1" ht="15" x14ac:dyDescent="0.25">
      <c r="B122" s="27"/>
      <c r="C122" s="27"/>
      <c r="D122" s="27"/>
      <c r="E122" s="27"/>
      <c r="F122" s="27"/>
      <c r="G122" s="27"/>
      <c r="H122" s="27"/>
      <c r="I122" s="457"/>
      <c r="J122" s="27"/>
      <c r="K122" s="27"/>
      <c r="L122" s="27"/>
      <c r="M122" s="27"/>
      <c r="N122" s="27"/>
    </row>
    <row r="123" spans="2:14" customFormat="1" ht="15" x14ac:dyDescent="0.25">
      <c r="B123" s="27"/>
      <c r="C123" s="27"/>
      <c r="D123" s="27"/>
      <c r="E123" s="27"/>
      <c r="F123" s="27"/>
      <c r="G123" s="27"/>
      <c r="H123" s="27"/>
      <c r="I123" s="457"/>
      <c r="J123" s="27"/>
      <c r="K123" s="27"/>
      <c r="L123" s="27"/>
      <c r="M123" s="27"/>
      <c r="N123" s="27"/>
    </row>
    <row r="124" spans="2:14" s="751" customFormat="1" ht="15" x14ac:dyDescent="0.25">
      <c r="B124" s="524"/>
      <c r="C124" s="524"/>
      <c r="D124" s="524"/>
      <c r="E124" s="524"/>
      <c r="F124" s="524"/>
      <c r="G124" s="524"/>
      <c r="H124" s="524"/>
      <c r="I124" s="524"/>
      <c r="J124" s="524"/>
      <c r="K124" s="524"/>
      <c r="L124" s="524"/>
      <c r="M124" s="524"/>
      <c r="N124" s="524"/>
    </row>
    <row r="125" spans="2:14" s="751" customFormat="1" ht="15" x14ac:dyDescent="0.25">
      <c r="B125" s="524"/>
      <c r="C125" s="524"/>
      <c r="D125" s="524"/>
      <c r="E125" s="524"/>
      <c r="F125" s="524"/>
      <c r="G125" s="524"/>
      <c r="H125" s="524"/>
      <c r="I125" s="524"/>
      <c r="J125" s="524"/>
      <c r="K125" s="524"/>
      <c r="L125" s="524"/>
      <c r="M125" s="524"/>
      <c r="N125" s="524"/>
    </row>
    <row r="126" spans="2:14" s="751" customFormat="1" ht="15" x14ac:dyDescent="0.25">
      <c r="B126" s="524"/>
      <c r="C126" s="524"/>
      <c r="D126" s="524"/>
      <c r="E126" s="524"/>
      <c r="F126" s="524"/>
      <c r="G126" s="524"/>
      <c r="H126" s="524"/>
      <c r="I126" s="524"/>
      <c r="J126" s="524"/>
      <c r="K126" s="524"/>
      <c r="L126" s="524"/>
      <c r="M126" s="524"/>
      <c r="N126" s="524"/>
    </row>
    <row r="127" spans="2:14" s="751" customFormat="1" ht="15" x14ac:dyDescent="0.25">
      <c r="B127" s="524"/>
      <c r="C127" s="524"/>
      <c r="D127" s="524"/>
      <c r="E127" s="524"/>
      <c r="F127" s="524"/>
      <c r="G127" s="524"/>
      <c r="H127" s="524"/>
      <c r="I127" s="524"/>
      <c r="J127" s="524"/>
      <c r="K127" s="524"/>
      <c r="L127" s="524"/>
      <c r="M127" s="524"/>
      <c r="N127" s="524"/>
    </row>
    <row r="128" spans="2:14" customFormat="1" ht="18" x14ac:dyDescent="0.25">
      <c r="B128" s="152" t="s">
        <v>184</v>
      </c>
      <c r="C128" s="27"/>
      <c r="D128" s="27"/>
      <c r="E128" s="27"/>
      <c r="F128" s="27"/>
      <c r="G128" s="27"/>
      <c r="H128" s="27"/>
      <c r="I128" s="457"/>
      <c r="J128" s="27"/>
      <c r="K128" s="27"/>
      <c r="L128" s="27"/>
      <c r="M128" s="27"/>
      <c r="N128" s="27"/>
    </row>
    <row r="129" spans="2:14" customFormat="1" ht="7.5" customHeight="1" x14ac:dyDescent="0.25">
      <c r="B129" s="27"/>
      <c r="C129" s="27"/>
      <c r="D129" s="27"/>
      <c r="E129" s="27"/>
      <c r="F129" s="27"/>
      <c r="G129" s="27"/>
      <c r="H129" s="27"/>
      <c r="I129" s="457"/>
      <c r="J129" s="27"/>
      <c r="K129" s="27"/>
      <c r="L129" s="27"/>
      <c r="M129" s="27"/>
      <c r="N129" s="27"/>
    </row>
    <row r="130" spans="2:14" customFormat="1" ht="22.5" customHeight="1" thickBot="1" x14ac:dyDescent="0.3">
      <c r="B130" s="816" t="s">
        <v>129</v>
      </c>
      <c r="C130" s="816"/>
      <c r="D130" s="816"/>
      <c r="E130" s="816"/>
      <c r="F130" s="27"/>
      <c r="G130" s="27"/>
      <c r="H130" s="27"/>
      <c r="I130" s="457"/>
      <c r="J130" s="27"/>
      <c r="K130" s="27"/>
      <c r="L130" s="27"/>
      <c r="M130" s="27"/>
      <c r="N130" s="27"/>
    </row>
    <row r="131" spans="2:14" customFormat="1" ht="15.75" thickTop="1" x14ac:dyDescent="0.25">
      <c r="B131" s="817" t="s">
        <v>169</v>
      </c>
      <c r="C131" s="817"/>
      <c r="D131" s="817"/>
      <c r="E131" s="187">
        <v>19185.150000000001</v>
      </c>
      <c r="F131" s="27"/>
      <c r="G131" s="27"/>
      <c r="H131" s="27"/>
      <c r="I131" s="457"/>
      <c r="J131" s="27"/>
      <c r="K131" s="27"/>
      <c r="L131" s="27"/>
      <c r="M131" s="27"/>
      <c r="N131" s="27"/>
    </row>
    <row r="132" spans="2:14" customFormat="1" ht="15" x14ac:dyDescent="0.25">
      <c r="B132" s="815" t="s">
        <v>171</v>
      </c>
      <c r="C132" s="815"/>
      <c r="D132" s="815"/>
      <c r="E132" s="181">
        <v>22947.56</v>
      </c>
      <c r="F132" s="27"/>
      <c r="G132" s="27"/>
      <c r="H132" s="27"/>
      <c r="I132" s="457"/>
      <c r="J132" s="27"/>
      <c r="K132" s="27"/>
      <c r="L132" s="27"/>
      <c r="M132" s="27"/>
      <c r="N132" s="27"/>
    </row>
    <row r="133" spans="2:14" customFormat="1" ht="15.75" thickBot="1" x14ac:dyDescent="0.3">
      <c r="B133" s="182" t="s">
        <v>52</v>
      </c>
      <c r="C133" s="125"/>
      <c r="D133" s="126"/>
      <c r="E133" s="183">
        <v>258.69</v>
      </c>
      <c r="F133" s="27"/>
      <c r="G133" s="27"/>
      <c r="H133" s="27"/>
      <c r="I133" s="457"/>
      <c r="J133" s="27"/>
      <c r="K133" s="27"/>
      <c r="L133" s="27"/>
      <c r="M133" s="27"/>
      <c r="N133" s="27"/>
    </row>
    <row r="134" spans="2:14" customFormat="1" ht="19.5" customHeight="1" thickTop="1" x14ac:dyDescent="0.25">
      <c r="B134" s="820" t="s">
        <v>125</v>
      </c>
      <c r="C134" s="820"/>
      <c r="D134" s="820"/>
      <c r="E134" s="188">
        <f>SUM(E131:E133)</f>
        <v>42391.400000000009</v>
      </c>
      <c r="F134" s="27"/>
      <c r="G134" s="27"/>
      <c r="H134" s="27"/>
      <c r="I134" s="457"/>
      <c r="J134" s="27"/>
      <c r="K134" s="27"/>
      <c r="L134" s="27"/>
      <c r="M134" s="27"/>
      <c r="N134" s="27"/>
    </row>
    <row r="135" spans="2:14" customFormat="1" ht="7.5" customHeight="1" x14ac:dyDescent="0.25">
      <c r="B135" s="27"/>
      <c r="C135" s="27"/>
      <c r="D135" s="27"/>
      <c r="E135" s="27"/>
      <c r="F135" s="27"/>
      <c r="G135" s="27"/>
      <c r="H135" s="27"/>
      <c r="I135" s="457"/>
      <c r="J135" s="27"/>
      <c r="K135" s="27"/>
      <c r="L135" s="27"/>
      <c r="M135" s="27"/>
      <c r="N135" s="27"/>
    </row>
    <row r="136" spans="2:14" s="129" customFormat="1" ht="68.25" thickBot="1" x14ac:dyDescent="0.3">
      <c r="B136" s="750" t="s">
        <v>56</v>
      </c>
      <c r="C136" s="892" t="s">
        <v>548</v>
      </c>
      <c r="D136" s="892" t="s">
        <v>1033</v>
      </c>
      <c r="E136" s="892" t="s">
        <v>1034</v>
      </c>
      <c r="F136" s="892" t="s">
        <v>175</v>
      </c>
      <c r="G136" s="892" t="s">
        <v>176</v>
      </c>
      <c r="H136" s="892" t="s">
        <v>177</v>
      </c>
      <c r="I136" s="892" t="s">
        <v>547</v>
      </c>
      <c r="J136" s="166" t="s">
        <v>125</v>
      </c>
    </row>
    <row r="137" spans="2:14" customFormat="1" ht="15.75" thickTop="1" x14ac:dyDescent="0.25">
      <c r="B137" s="167" t="s">
        <v>62</v>
      </c>
      <c r="C137" s="168">
        <v>0</v>
      </c>
      <c r="D137" s="168">
        <v>386891</v>
      </c>
      <c r="E137" s="168">
        <v>711660</v>
      </c>
      <c r="F137" s="168">
        <v>0</v>
      </c>
      <c r="G137" s="168">
        <v>0</v>
      </c>
      <c r="H137" s="168">
        <v>186550</v>
      </c>
      <c r="I137" s="168">
        <v>0</v>
      </c>
      <c r="J137" s="168">
        <f>C137+D137+E137+F137+G137+H137+I137</f>
        <v>1285101</v>
      </c>
      <c r="K137" s="27"/>
      <c r="L137" s="27"/>
      <c r="M137" s="27"/>
      <c r="N137" s="27"/>
    </row>
    <row r="138" spans="2:14" customFormat="1" ht="15" x14ac:dyDescent="0.25">
      <c r="B138" s="169" t="s">
        <v>63</v>
      </c>
      <c r="C138" s="170">
        <v>0</v>
      </c>
      <c r="D138" s="170">
        <v>134843</v>
      </c>
      <c r="E138" s="170">
        <v>253346</v>
      </c>
      <c r="F138" s="170">
        <v>0</v>
      </c>
      <c r="G138" s="170">
        <v>0</v>
      </c>
      <c r="H138" s="170">
        <v>65320</v>
      </c>
      <c r="I138" s="170">
        <v>0</v>
      </c>
      <c r="J138" s="170">
        <f t="shared" ref="J138:J147" si="14">C138+D138+E138+F138+G138+H138+I138</f>
        <v>453509</v>
      </c>
      <c r="K138" s="27"/>
      <c r="L138" s="27"/>
      <c r="M138" s="27"/>
      <c r="N138" s="27"/>
    </row>
    <row r="139" spans="2:14" customFormat="1" ht="15" x14ac:dyDescent="0.25">
      <c r="B139" s="169" t="s">
        <v>64</v>
      </c>
      <c r="C139" s="170">
        <f t="shared" ref="C139:I139" si="15">SUM(C140:C144)</f>
        <v>40000</v>
      </c>
      <c r="D139" s="170">
        <f t="shared" si="15"/>
        <v>73716.72</v>
      </c>
      <c r="E139" s="170">
        <f t="shared" si="15"/>
        <v>178781.48</v>
      </c>
      <c r="F139" s="170">
        <f t="shared" si="15"/>
        <v>62450</v>
      </c>
      <c r="G139" s="170">
        <f t="shared" si="15"/>
        <v>158747.6</v>
      </c>
      <c r="H139" s="170">
        <f t="shared" si="15"/>
        <v>21630</v>
      </c>
      <c r="I139" s="170">
        <f t="shared" si="15"/>
        <v>495.6</v>
      </c>
      <c r="J139" s="170">
        <f t="shared" si="14"/>
        <v>535821.4</v>
      </c>
      <c r="K139" s="27"/>
      <c r="L139" s="27"/>
      <c r="M139" s="27"/>
      <c r="N139" s="27"/>
    </row>
    <row r="140" spans="2:14" customFormat="1" ht="15" x14ac:dyDescent="0.25">
      <c r="B140" s="171" t="s">
        <v>65</v>
      </c>
      <c r="C140" s="9">
        <v>0</v>
      </c>
      <c r="D140" s="9">
        <v>36751</v>
      </c>
      <c r="E140" s="9">
        <v>85438.02</v>
      </c>
      <c r="F140" s="9">
        <v>0</v>
      </c>
      <c r="G140" s="9">
        <v>0</v>
      </c>
      <c r="H140" s="9">
        <v>12000</v>
      </c>
      <c r="I140" s="9">
        <v>0</v>
      </c>
      <c r="J140" s="9">
        <f t="shared" si="14"/>
        <v>134189.02000000002</v>
      </c>
      <c r="K140" s="27"/>
      <c r="L140" s="27"/>
      <c r="M140" s="27"/>
      <c r="N140" s="27"/>
    </row>
    <row r="141" spans="2:14" customFormat="1" ht="15" x14ac:dyDescent="0.25">
      <c r="B141" s="171" t="s">
        <v>66</v>
      </c>
      <c r="C141" s="9">
        <v>0</v>
      </c>
      <c r="D141" s="9">
        <v>9386</v>
      </c>
      <c r="E141" s="9">
        <v>14474.38</v>
      </c>
      <c r="F141" s="9">
        <v>0</v>
      </c>
      <c r="G141" s="9">
        <v>0</v>
      </c>
      <c r="H141" s="9">
        <v>800</v>
      </c>
      <c r="I141" s="9">
        <v>495.6</v>
      </c>
      <c r="J141" s="9">
        <f t="shared" si="14"/>
        <v>25155.979999999996</v>
      </c>
      <c r="K141" s="27"/>
      <c r="L141" s="27"/>
      <c r="M141" s="27"/>
      <c r="N141" s="27"/>
    </row>
    <row r="142" spans="2:14" customFormat="1" ht="15" x14ac:dyDescent="0.25">
      <c r="B142" s="171" t="s">
        <v>68</v>
      </c>
      <c r="C142" s="9">
        <v>0</v>
      </c>
      <c r="D142" s="9">
        <v>1989.76</v>
      </c>
      <c r="E142" s="9">
        <v>25729.7</v>
      </c>
      <c r="F142" s="9">
        <v>0</v>
      </c>
      <c r="G142" s="9">
        <v>0</v>
      </c>
      <c r="H142" s="9">
        <v>2615</v>
      </c>
      <c r="I142" s="9">
        <v>0</v>
      </c>
      <c r="J142" s="9">
        <f t="shared" si="14"/>
        <v>30334.46</v>
      </c>
      <c r="K142" s="27"/>
      <c r="L142" s="27"/>
      <c r="M142" s="27"/>
      <c r="N142" s="27"/>
    </row>
    <row r="143" spans="2:14" customFormat="1" ht="15" x14ac:dyDescent="0.25">
      <c r="B143" s="171" t="s">
        <v>185</v>
      </c>
      <c r="C143" s="9">
        <v>40000</v>
      </c>
      <c r="D143" s="9">
        <v>1399.63</v>
      </c>
      <c r="E143" s="9">
        <v>1342.08</v>
      </c>
      <c r="F143" s="9">
        <v>62450</v>
      </c>
      <c r="G143" s="9">
        <v>0</v>
      </c>
      <c r="H143" s="9">
        <v>0</v>
      </c>
      <c r="I143" s="9">
        <v>0</v>
      </c>
      <c r="J143" s="9">
        <f t="shared" si="14"/>
        <v>105191.70999999999</v>
      </c>
      <c r="K143" s="27"/>
      <c r="L143" s="27"/>
      <c r="M143" s="27"/>
      <c r="N143" s="27"/>
    </row>
    <row r="144" spans="2:14" customFormat="1" ht="15" x14ac:dyDescent="0.25">
      <c r="B144" s="171" t="s">
        <v>70</v>
      </c>
      <c r="C144" s="9">
        <v>0</v>
      </c>
      <c r="D144" s="9">
        <v>24190.33</v>
      </c>
      <c r="E144" s="9">
        <v>51797.3</v>
      </c>
      <c r="F144" s="9"/>
      <c r="G144" s="9">
        <v>158747.6</v>
      </c>
      <c r="H144" s="9">
        <v>6215</v>
      </c>
      <c r="I144" s="9">
        <v>0</v>
      </c>
      <c r="J144" s="9">
        <f t="shared" si="14"/>
        <v>240950.23</v>
      </c>
      <c r="K144" s="27"/>
      <c r="L144" s="27"/>
      <c r="M144" s="27"/>
      <c r="N144" s="27"/>
    </row>
    <row r="145" spans="2:14" customFormat="1" ht="15.75" thickBot="1" x14ac:dyDescent="0.3">
      <c r="B145" s="172" t="s">
        <v>71</v>
      </c>
      <c r="C145" s="173">
        <v>0</v>
      </c>
      <c r="D145" s="173">
        <v>4895.8900000000003</v>
      </c>
      <c r="E145" s="173">
        <v>8222.3799999999992</v>
      </c>
      <c r="F145" s="173"/>
      <c r="G145" s="173">
        <v>0</v>
      </c>
      <c r="H145" s="173">
        <v>780</v>
      </c>
      <c r="I145" s="173">
        <v>83</v>
      </c>
      <c r="J145" s="173">
        <f t="shared" si="14"/>
        <v>13981.27</v>
      </c>
      <c r="K145" s="27"/>
      <c r="L145" s="27"/>
      <c r="M145" s="27"/>
      <c r="N145" s="27"/>
    </row>
    <row r="146" spans="2:14" s="456" customFormat="1" ht="26.25" thickTop="1" x14ac:dyDescent="0.25">
      <c r="B146" s="515" t="s">
        <v>549</v>
      </c>
      <c r="C146" s="516">
        <v>0</v>
      </c>
      <c r="D146" s="516">
        <v>0</v>
      </c>
      <c r="E146" s="516">
        <v>0</v>
      </c>
      <c r="F146" s="516">
        <v>0</v>
      </c>
      <c r="G146" s="516">
        <v>0</v>
      </c>
      <c r="H146" s="516">
        <v>10000</v>
      </c>
      <c r="I146" s="516">
        <v>0</v>
      </c>
      <c r="J146" s="516">
        <f t="shared" si="14"/>
        <v>10000</v>
      </c>
      <c r="K146" s="457"/>
      <c r="L146" s="457"/>
      <c r="M146" s="457"/>
      <c r="N146" s="457"/>
    </row>
    <row r="147" spans="2:14" customFormat="1" ht="15.75" customHeight="1" x14ac:dyDescent="0.25">
      <c r="B147" s="174" t="s">
        <v>125</v>
      </c>
      <c r="C147" s="164">
        <f t="shared" ref="C147:G147" si="16">C137+C138+C139+C145</f>
        <v>40000</v>
      </c>
      <c r="D147" s="164">
        <f t="shared" si="16"/>
        <v>600346.61</v>
      </c>
      <c r="E147" s="164">
        <f t="shared" si="16"/>
        <v>1152009.8599999999</v>
      </c>
      <c r="F147" s="164">
        <f t="shared" si="16"/>
        <v>62450</v>
      </c>
      <c r="G147" s="164">
        <f t="shared" si="16"/>
        <v>158747.6</v>
      </c>
      <c r="H147" s="164">
        <f>H137+H138+H139+H145+H146</f>
        <v>284280</v>
      </c>
      <c r="I147" s="164">
        <f>I137+I138+I139+I145+I146</f>
        <v>578.6</v>
      </c>
      <c r="J147" s="164">
        <f t="shared" si="14"/>
        <v>2298412.67</v>
      </c>
      <c r="K147" s="27"/>
      <c r="L147" s="27"/>
      <c r="M147" s="27"/>
      <c r="N147" s="27"/>
    </row>
    <row r="148" spans="2:14" customFormat="1" ht="15" x14ac:dyDescent="0.25">
      <c r="B148" s="27"/>
      <c r="C148" s="27"/>
      <c r="D148" s="27"/>
      <c r="E148" s="27"/>
      <c r="F148" s="27"/>
      <c r="G148" s="27"/>
      <c r="H148" s="27"/>
      <c r="I148" s="457"/>
      <c r="J148" s="27"/>
      <c r="K148" s="27"/>
      <c r="L148" s="27"/>
      <c r="M148" s="27"/>
      <c r="N148" s="27"/>
    </row>
    <row r="149" spans="2:14" customFormat="1" ht="18" x14ac:dyDescent="0.25">
      <c r="B149" s="152" t="s">
        <v>186</v>
      </c>
      <c r="C149" s="27"/>
      <c r="D149" s="27"/>
      <c r="E149" s="27"/>
      <c r="F149" s="27"/>
      <c r="G149" s="27"/>
      <c r="H149" s="27"/>
      <c r="I149" s="457"/>
      <c r="J149" s="27"/>
      <c r="K149" s="27"/>
      <c r="L149" s="27"/>
      <c r="M149" s="27"/>
      <c r="N149" s="27"/>
    </row>
    <row r="150" spans="2:14" customFormat="1" ht="7.5" customHeight="1" x14ac:dyDescent="0.25">
      <c r="B150" s="27"/>
      <c r="C150" s="27"/>
      <c r="D150" s="27"/>
      <c r="E150" s="27"/>
      <c r="F150" s="27"/>
      <c r="G150" s="27"/>
      <c r="H150" s="27"/>
      <c r="I150" s="457"/>
      <c r="J150" s="27"/>
      <c r="K150" s="27"/>
      <c r="L150" s="27"/>
      <c r="M150" s="27"/>
      <c r="N150" s="27"/>
    </row>
    <row r="151" spans="2:14" customFormat="1" ht="19.5" customHeight="1" thickBot="1" x14ac:dyDescent="0.3">
      <c r="B151" s="816" t="s">
        <v>129</v>
      </c>
      <c r="C151" s="816"/>
      <c r="D151" s="816"/>
      <c r="E151" s="816"/>
      <c r="F151" s="27"/>
      <c r="G151" s="27"/>
      <c r="H151" s="27"/>
      <c r="I151" s="457"/>
      <c r="J151" s="27"/>
      <c r="K151" s="27"/>
      <c r="L151" s="27"/>
      <c r="M151" s="27"/>
      <c r="N151" s="27"/>
    </row>
    <row r="152" spans="2:14" customFormat="1" ht="15.75" thickTop="1" x14ac:dyDescent="0.25">
      <c r="B152" s="817" t="s">
        <v>169</v>
      </c>
      <c r="C152" s="817"/>
      <c r="D152" s="817"/>
      <c r="E152" s="187">
        <v>6000</v>
      </c>
      <c r="F152" s="27"/>
      <c r="G152" s="27"/>
      <c r="H152" s="27"/>
      <c r="I152" s="457"/>
      <c r="J152" s="27"/>
      <c r="K152" s="27"/>
      <c r="L152" s="27"/>
      <c r="M152" s="27"/>
      <c r="N152" s="27"/>
    </row>
    <row r="153" spans="2:14" customFormat="1" ht="15" x14ac:dyDescent="0.25">
      <c r="B153" s="815" t="s">
        <v>170</v>
      </c>
      <c r="C153" s="815"/>
      <c r="D153" s="815"/>
      <c r="E153" s="181">
        <v>16221.8</v>
      </c>
      <c r="F153" s="27"/>
      <c r="G153" s="27"/>
      <c r="H153" s="27"/>
      <c r="I153" s="457"/>
      <c r="J153" s="27"/>
      <c r="K153" s="27"/>
      <c r="L153" s="27"/>
      <c r="M153" s="27"/>
      <c r="N153" s="27"/>
    </row>
    <row r="154" spans="2:14" customFormat="1" ht="15" x14ac:dyDescent="0.25">
      <c r="B154" s="815" t="s">
        <v>171</v>
      </c>
      <c r="C154" s="815"/>
      <c r="D154" s="815"/>
      <c r="E154" s="181">
        <v>6677.01</v>
      </c>
      <c r="F154" s="27"/>
      <c r="G154" s="27"/>
      <c r="H154" s="27"/>
      <c r="I154" s="457"/>
      <c r="J154" s="27"/>
      <c r="K154" s="27"/>
      <c r="L154" s="27"/>
      <c r="M154" s="27"/>
      <c r="N154" s="27"/>
    </row>
    <row r="155" spans="2:14" s="122" customFormat="1" x14ac:dyDescent="0.25">
      <c r="B155" s="818" t="s">
        <v>133</v>
      </c>
      <c r="C155" s="818"/>
      <c r="D155" s="818"/>
      <c r="E155" s="155">
        <v>48265.81</v>
      </c>
    </row>
    <row r="156" spans="2:14" s="122" customFormat="1" x14ac:dyDescent="0.25">
      <c r="B156" s="160" t="s">
        <v>187</v>
      </c>
      <c r="C156" s="161"/>
      <c r="D156" s="162"/>
      <c r="E156" s="155">
        <v>0</v>
      </c>
    </row>
    <row r="157" spans="2:14" s="122" customFormat="1" x14ac:dyDescent="0.25">
      <c r="B157" s="818" t="s">
        <v>172</v>
      </c>
      <c r="C157" s="818"/>
      <c r="D157" s="818"/>
      <c r="E157" s="155">
        <v>0</v>
      </c>
    </row>
    <row r="158" spans="2:14" s="122" customFormat="1" x14ac:dyDescent="0.25">
      <c r="B158" s="818" t="s">
        <v>173</v>
      </c>
      <c r="C158" s="818"/>
      <c r="D158" s="818"/>
      <c r="E158" s="159">
        <v>395.4</v>
      </c>
    </row>
    <row r="159" spans="2:14" customFormat="1" ht="15.75" thickBot="1" x14ac:dyDescent="0.3">
      <c r="B159" s="819" t="s">
        <v>135</v>
      </c>
      <c r="C159" s="819"/>
      <c r="D159" s="819"/>
      <c r="E159" s="183">
        <v>0</v>
      </c>
      <c r="F159" s="27"/>
      <c r="G159" s="27"/>
      <c r="H159" s="27"/>
      <c r="I159" s="457"/>
      <c r="J159" s="27"/>
      <c r="K159" s="27"/>
      <c r="L159" s="27"/>
      <c r="M159" s="27"/>
      <c r="N159" s="27"/>
    </row>
    <row r="160" spans="2:14" customFormat="1" ht="19.5" customHeight="1" thickTop="1" x14ac:dyDescent="0.25">
      <c r="B160" s="820" t="s">
        <v>125</v>
      </c>
      <c r="C160" s="820"/>
      <c r="D160" s="820"/>
      <c r="E160" s="188">
        <f>SUM(E152:E159)</f>
        <v>77560.01999999999</v>
      </c>
      <c r="F160" s="27"/>
      <c r="G160" s="27"/>
      <c r="H160" s="27"/>
      <c r="I160" s="457"/>
      <c r="J160" s="27"/>
      <c r="K160" s="27"/>
      <c r="L160" s="27"/>
      <c r="M160" s="27"/>
      <c r="N160" s="27"/>
    </row>
    <row r="161" spans="2:14" customFormat="1" ht="7.5" customHeight="1" x14ac:dyDescent="0.25">
      <c r="B161" s="27"/>
      <c r="C161" s="27"/>
      <c r="D161" s="27"/>
      <c r="E161" s="27"/>
      <c r="F161" s="27"/>
      <c r="G161" s="27"/>
      <c r="H161" s="27"/>
      <c r="I161" s="457"/>
      <c r="J161" s="27"/>
      <c r="K161" s="27"/>
      <c r="L161" s="27"/>
      <c r="M161" s="27"/>
      <c r="N161" s="27"/>
    </row>
    <row r="162" spans="2:14" s="129" customFormat="1" ht="68.25" thickBot="1" x14ac:dyDescent="0.3">
      <c r="B162" s="750" t="s">
        <v>56</v>
      </c>
      <c r="C162" s="892" t="s">
        <v>548</v>
      </c>
      <c r="D162" s="892" t="s">
        <v>1033</v>
      </c>
      <c r="E162" s="892" t="s">
        <v>1034</v>
      </c>
      <c r="F162" s="892" t="s">
        <v>175</v>
      </c>
      <c r="G162" s="892" t="s">
        <v>176</v>
      </c>
      <c r="H162" s="892" t="s">
        <v>177</v>
      </c>
      <c r="I162" s="892" t="s">
        <v>547</v>
      </c>
      <c r="J162" s="166" t="s">
        <v>125</v>
      </c>
    </row>
    <row r="163" spans="2:14" customFormat="1" ht="15.75" thickTop="1" x14ac:dyDescent="0.25">
      <c r="B163" s="167" t="s">
        <v>62</v>
      </c>
      <c r="C163" s="168">
        <v>0</v>
      </c>
      <c r="D163" s="168">
        <v>109650.42</v>
      </c>
      <c r="E163" s="168">
        <v>244170</v>
      </c>
      <c r="F163" s="168">
        <v>25902.66</v>
      </c>
      <c r="G163" s="168">
        <v>28609.71</v>
      </c>
      <c r="H163" s="168">
        <v>33480</v>
      </c>
      <c r="I163" s="168">
        <v>0</v>
      </c>
      <c r="J163" s="168">
        <f>C163+D163+E163+F163+G163+H163+I163</f>
        <v>441812.79</v>
      </c>
      <c r="K163" s="27"/>
      <c r="L163" s="27"/>
      <c r="M163" s="27"/>
      <c r="N163" s="27"/>
    </row>
    <row r="164" spans="2:14" customFormat="1" ht="15" x14ac:dyDescent="0.25">
      <c r="B164" s="169" t="s">
        <v>63</v>
      </c>
      <c r="C164" s="170">
        <v>0</v>
      </c>
      <c r="D164" s="170">
        <v>38513</v>
      </c>
      <c r="E164" s="170">
        <v>85313</v>
      </c>
      <c r="F164" s="170">
        <v>11255</v>
      </c>
      <c r="G164" s="170">
        <v>10102</v>
      </c>
      <c r="H164" s="170">
        <v>11743.2</v>
      </c>
      <c r="I164" s="170">
        <v>0</v>
      </c>
      <c r="J164" s="170">
        <f t="shared" ref="J164:J174" si="17">C164+D164+E164+F164+G164+H164+I164</f>
        <v>156926.20000000001</v>
      </c>
      <c r="K164" s="27"/>
      <c r="L164" s="27"/>
      <c r="M164" s="27"/>
      <c r="N164" s="27"/>
    </row>
    <row r="165" spans="2:14" customFormat="1" ht="15" x14ac:dyDescent="0.25">
      <c r="B165" s="169" t="s">
        <v>64</v>
      </c>
      <c r="C165" s="170">
        <f t="shared" ref="C165:I165" si="18">SUM(C166:C171)</f>
        <v>0</v>
      </c>
      <c r="D165" s="170">
        <f t="shared" si="18"/>
        <v>33749</v>
      </c>
      <c r="E165" s="170">
        <f t="shared" si="18"/>
        <v>71029.97</v>
      </c>
      <c r="F165" s="170">
        <f t="shared" si="18"/>
        <v>15114</v>
      </c>
      <c r="G165" s="170">
        <f t="shared" si="18"/>
        <v>88853.329999999987</v>
      </c>
      <c r="H165" s="170">
        <f t="shared" si="18"/>
        <v>5958</v>
      </c>
      <c r="I165" s="170">
        <f t="shared" si="18"/>
        <v>186.8</v>
      </c>
      <c r="J165" s="170">
        <f t="shared" si="17"/>
        <v>214891.09999999998</v>
      </c>
      <c r="K165" s="27"/>
      <c r="L165" s="27"/>
      <c r="M165" s="27"/>
      <c r="N165" s="27"/>
    </row>
    <row r="166" spans="2:14" customFormat="1" ht="15" x14ac:dyDescent="0.25">
      <c r="B166" s="171" t="s">
        <v>65</v>
      </c>
      <c r="C166" s="9"/>
      <c r="D166" s="9">
        <v>25607</v>
      </c>
      <c r="E166" s="9">
        <v>26680.959999999999</v>
      </c>
      <c r="F166" s="9">
        <v>6680</v>
      </c>
      <c r="G166" s="9">
        <v>12100</v>
      </c>
      <c r="H166" s="9">
        <v>5000</v>
      </c>
      <c r="I166" s="9"/>
      <c r="J166" s="9">
        <f t="shared" si="17"/>
        <v>76067.959999999992</v>
      </c>
      <c r="K166" s="27"/>
      <c r="L166" s="27"/>
      <c r="M166" s="27"/>
      <c r="N166" s="27"/>
    </row>
    <row r="167" spans="2:14" customFormat="1" ht="15" x14ac:dyDescent="0.25">
      <c r="B167" s="171" t="s">
        <v>66</v>
      </c>
      <c r="C167" s="9"/>
      <c r="D167" s="9">
        <v>1376</v>
      </c>
      <c r="E167" s="9">
        <v>4980.3999999999996</v>
      </c>
      <c r="F167" s="9">
        <v>6854</v>
      </c>
      <c r="G167" s="9">
        <v>57217.24</v>
      </c>
      <c r="H167" s="9">
        <v>265</v>
      </c>
      <c r="I167" s="9">
        <v>186.8</v>
      </c>
      <c r="J167" s="9">
        <f t="shared" si="17"/>
        <v>70879.44</v>
      </c>
      <c r="K167" s="27"/>
      <c r="L167" s="27"/>
      <c r="M167" s="27"/>
      <c r="N167" s="27"/>
    </row>
    <row r="168" spans="2:14" customFormat="1" ht="15" x14ac:dyDescent="0.25">
      <c r="B168" s="171" t="s">
        <v>67</v>
      </c>
      <c r="C168" s="9"/>
      <c r="D168" s="9">
        <v>800</v>
      </c>
      <c r="E168" s="9">
        <v>0</v>
      </c>
      <c r="F168" s="9">
        <v>0</v>
      </c>
      <c r="G168" s="9">
        <v>0</v>
      </c>
      <c r="H168" s="9">
        <v>0</v>
      </c>
      <c r="I168" s="9"/>
      <c r="J168" s="9">
        <f t="shared" si="17"/>
        <v>800</v>
      </c>
      <c r="K168" s="27"/>
      <c r="L168" s="27"/>
      <c r="M168" s="27"/>
      <c r="N168" s="27"/>
    </row>
    <row r="169" spans="2:14" customFormat="1" ht="15" x14ac:dyDescent="0.25">
      <c r="B169" s="171" t="s">
        <v>68</v>
      </c>
      <c r="C169" s="9"/>
      <c r="D169" s="9">
        <v>600</v>
      </c>
      <c r="E169" s="9">
        <v>23763.42</v>
      </c>
      <c r="F169" s="9">
        <v>0</v>
      </c>
      <c r="G169" s="9">
        <v>3600</v>
      </c>
      <c r="H169" s="9">
        <v>0</v>
      </c>
      <c r="I169" s="9"/>
      <c r="J169" s="9">
        <f t="shared" si="17"/>
        <v>27963.42</v>
      </c>
      <c r="K169" s="27"/>
      <c r="L169" s="27"/>
      <c r="M169" s="27"/>
      <c r="N169" s="27"/>
    </row>
    <row r="170" spans="2:14" customFormat="1" ht="15" x14ac:dyDescent="0.25">
      <c r="B170" s="171" t="s">
        <v>188</v>
      </c>
      <c r="C170" s="9"/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/>
      <c r="J170" s="9">
        <f t="shared" si="17"/>
        <v>0</v>
      </c>
      <c r="K170" s="27"/>
      <c r="L170" s="27"/>
      <c r="M170" s="27"/>
      <c r="N170" s="27"/>
    </row>
    <row r="171" spans="2:14" customFormat="1" ht="15" x14ac:dyDescent="0.25">
      <c r="B171" s="171" t="s">
        <v>70</v>
      </c>
      <c r="C171" s="9"/>
      <c r="D171" s="9">
        <v>5366</v>
      </c>
      <c r="E171" s="9">
        <v>15605.19</v>
      </c>
      <c r="F171" s="9">
        <v>1580</v>
      </c>
      <c r="G171" s="9">
        <v>15936.09</v>
      </c>
      <c r="H171" s="9">
        <v>693</v>
      </c>
      <c r="I171" s="9"/>
      <c r="J171" s="9">
        <f t="shared" si="17"/>
        <v>39180.28</v>
      </c>
      <c r="K171" s="27"/>
      <c r="L171" s="27"/>
      <c r="M171" s="27"/>
      <c r="N171" s="27"/>
    </row>
    <row r="172" spans="2:14" customFormat="1" ht="15.75" thickBot="1" x14ac:dyDescent="0.3">
      <c r="B172" s="172" t="s">
        <v>71</v>
      </c>
      <c r="C172" s="173">
        <v>0</v>
      </c>
      <c r="D172" s="173">
        <v>853.58</v>
      </c>
      <c r="E172" s="173">
        <v>110</v>
      </c>
      <c r="F172" s="173">
        <v>317.33999999999997</v>
      </c>
      <c r="G172" s="173">
        <v>328.29</v>
      </c>
      <c r="H172" s="173">
        <v>139.80000000000001</v>
      </c>
      <c r="I172" s="173">
        <v>0</v>
      </c>
      <c r="J172" s="173">
        <f t="shared" si="17"/>
        <v>1749.01</v>
      </c>
      <c r="K172" s="27"/>
      <c r="L172" s="27"/>
      <c r="M172" s="27"/>
      <c r="N172" s="27"/>
    </row>
    <row r="173" spans="2:14" s="523" customFormat="1" ht="26.25" thickTop="1" x14ac:dyDescent="0.25">
      <c r="B173" s="515" t="s">
        <v>550</v>
      </c>
      <c r="C173" s="516"/>
      <c r="D173" s="516"/>
      <c r="E173" s="516"/>
      <c r="F173" s="516"/>
      <c r="G173" s="516">
        <v>4000</v>
      </c>
      <c r="H173" s="516"/>
      <c r="I173" s="516"/>
      <c r="J173" s="516">
        <f t="shared" si="17"/>
        <v>4000</v>
      </c>
      <c r="K173" s="524"/>
      <c r="L173" s="524"/>
      <c r="M173" s="524"/>
      <c r="N173" s="524"/>
    </row>
    <row r="174" spans="2:14" customFormat="1" ht="22.5" customHeight="1" x14ac:dyDescent="0.25">
      <c r="B174" s="174" t="s">
        <v>125</v>
      </c>
      <c r="C174" s="164">
        <f t="shared" ref="C174:F174" si="19">C163+C164+C165+C172</f>
        <v>0</v>
      </c>
      <c r="D174" s="164">
        <f t="shared" si="19"/>
        <v>182765.99999999997</v>
      </c>
      <c r="E174" s="164">
        <f t="shared" si="19"/>
        <v>400622.97</v>
      </c>
      <c r="F174" s="164">
        <f t="shared" si="19"/>
        <v>52589</v>
      </c>
      <c r="G174" s="164">
        <f>G163+G164+G165+G172+G173</f>
        <v>131893.32999999996</v>
      </c>
      <c r="H174" s="164">
        <f t="shared" ref="H174:I174" si="20">H163+H164+H165+H172+H173</f>
        <v>51321</v>
      </c>
      <c r="I174" s="164">
        <f t="shared" si="20"/>
        <v>186.8</v>
      </c>
      <c r="J174" s="164">
        <f t="shared" si="17"/>
        <v>819379.1</v>
      </c>
      <c r="K174" s="27"/>
      <c r="L174" s="27"/>
      <c r="M174" s="27"/>
      <c r="N174" s="27"/>
    </row>
    <row r="175" spans="2:14" customFormat="1" ht="15" x14ac:dyDescent="0.25">
      <c r="B175" s="27"/>
      <c r="C175" s="27"/>
      <c r="D175" s="27"/>
      <c r="E175" s="27"/>
      <c r="F175" s="27"/>
      <c r="G175" s="27"/>
      <c r="H175" s="27"/>
      <c r="I175" s="457"/>
      <c r="J175" s="27"/>
      <c r="K175" s="27"/>
      <c r="L175" s="27"/>
      <c r="M175" s="27"/>
      <c r="N175" s="27"/>
    </row>
    <row r="176" spans="2:14" customFormat="1" ht="15" x14ac:dyDescent="0.25">
      <c r="B176" s="27"/>
      <c r="C176" s="27"/>
      <c r="D176" s="27"/>
      <c r="E176" s="27"/>
      <c r="F176" s="27"/>
      <c r="G176" s="27"/>
      <c r="H176" s="27"/>
      <c r="I176" s="457"/>
      <c r="J176" s="27"/>
      <c r="K176" s="27"/>
      <c r="L176" s="27"/>
      <c r="M176" s="27"/>
      <c r="N176" s="27"/>
    </row>
    <row r="177" spans="2:14" customFormat="1" ht="15" x14ac:dyDescent="0.25">
      <c r="B177" s="27"/>
      <c r="C177" s="27"/>
      <c r="D177" s="27"/>
      <c r="E177" s="27"/>
      <c r="F177" s="27"/>
      <c r="G177" s="27"/>
      <c r="H177" s="27"/>
      <c r="I177" s="457"/>
      <c r="J177" s="27"/>
      <c r="K177" s="27"/>
      <c r="L177" s="27"/>
      <c r="M177" s="27"/>
      <c r="N177" s="27"/>
    </row>
    <row r="178" spans="2:14" customFormat="1" ht="15" x14ac:dyDescent="0.25">
      <c r="B178" s="27"/>
      <c r="C178" s="27"/>
      <c r="D178" s="27"/>
      <c r="E178" s="27"/>
      <c r="F178" s="27"/>
      <c r="G178" s="27"/>
      <c r="H178" s="27"/>
      <c r="I178" s="457"/>
      <c r="J178" s="27"/>
      <c r="K178" s="27"/>
      <c r="L178" s="27"/>
      <c r="M178" s="27"/>
      <c r="N178" s="27"/>
    </row>
    <row r="179" spans="2:14" customFormat="1" ht="15" x14ac:dyDescent="0.25">
      <c r="B179" s="27"/>
      <c r="C179" s="27"/>
      <c r="D179" s="27"/>
      <c r="E179" s="27"/>
      <c r="F179" s="27"/>
      <c r="G179" s="27"/>
      <c r="H179" s="27"/>
      <c r="I179" s="457"/>
      <c r="J179" s="27"/>
      <c r="K179" s="27"/>
      <c r="L179" s="27"/>
      <c r="M179" s="27"/>
      <c r="N179" s="27"/>
    </row>
    <row r="180" spans="2:14" customFormat="1" ht="15" x14ac:dyDescent="0.25">
      <c r="B180" s="27"/>
      <c r="C180" s="27"/>
      <c r="D180" s="27"/>
      <c r="E180" s="27"/>
      <c r="F180" s="27"/>
      <c r="G180" s="27"/>
      <c r="H180" s="27"/>
      <c r="I180" s="457"/>
      <c r="J180" s="27"/>
      <c r="K180" s="27"/>
      <c r="L180" s="27"/>
      <c r="M180" s="27"/>
      <c r="N180" s="27"/>
    </row>
    <row r="181" spans="2:14" customFormat="1" ht="15" x14ac:dyDescent="0.25">
      <c r="B181" s="27"/>
      <c r="C181" s="27"/>
      <c r="D181" s="27"/>
      <c r="E181" s="27"/>
      <c r="F181" s="27"/>
      <c r="G181" s="27"/>
      <c r="H181" s="27"/>
      <c r="I181" s="457"/>
      <c r="J181" s="27"/>
      <c r="K181" s="27"/>
      <c r="L181" s="27"/>
      <c r="M181" s="27"/>
      <c r="N181" s="27"/>
    </row>
    <row r="182" spans="2:14" customFormat="1" ht="15" x14ac:dyDescent="0.25">
      <c r="B182" s="27"/>
      <c r="C182" s="27"/>
      <c r="D182" s="27"/>
      <c r="E182" s="27"/>
      <c r="F182" s="27"/>
      <c r="G182" s="27"/>
      <c r="H182" s="27"/>
      <c r="I182" s="457"/>
      <c r="J182" s="27"/>
      <c r="K182" s="27"/>
      <c r="L182" s="27"/>
      <c r="M182" s="27"/>
      <c r="N182" s="27"/>
    </row>
    <row r="183" spans="2:14" s="751" customFormat="1" ht="15" x14ac:dyDescent="0.25">
      <c r="B183" s="524"/>
      <c r="C183" s="524"/>
      <c r="D183" s="524"/>
      <c r="E183" s="524"/>
      <c r="F183" s="524"/>
      <c r="G183" s="524"/>
      <c r="H183" s="524"/>
      <c r="I183" s="524"/>
      <c r="J183" s="524"/>
      <c r="K183" s="524"/>
      <c r="L183" s="524"/>
      <c r="M183" s="524"/>
      <c r="N183" s="524"/>
    </row>
    <row r="184" spans="2:14" s="751" customFormat="1" ht="15" x14ac:dyDescent="0.25">
      <c r="B184" s="524"/>
      <c r="C184" s="524"/>
      <c r="D184" s="524"/>
      <c r="E184" s="524"/>
      <c r="F184" s="524"/>
      <c r="G184" s="524"/>
      <c r="H184" s="524"/>
      <c r="I184" s="524"/>
      <c r="J184" s="524"/>
      <c r="K184" s="524"/>
      <c r="L184" s="524"/>
      <c r="M184" s="524"/>
      <c r="N184" s="524"/>
    </row>
    <row r="185" spans="2:14" s="751" customFormat="1" ht="15" x14ac:dyDescent="0.25">
      <c r="B185" s="524"/>
      <c r="C185" s="524"/>
      <c r="D185" s="524"/>
      <c r="E185" s="524"/>
      <c r="F185" s="524"/>
      <c r="G185" s="524"/>
      <c r="H185" s="524"/>
      <c r="I185" s="524"/>
      <c r="J185" s="524"/>
      <c r="K185" s="524"/>
      <c r="L185" s="524"/>
      <c r="M185" s="524"/>
      <c r="N185" s="524"/>
    </row>
    <row r="186" spans="2:14" s="751" customFormat="1" ht="15" x14ac:dyDescent="0.25">
      <c r="B186" s="524"/>
      <c r="C186" s="524"/>
      <c r="D186" s="524"/>
      <c r="E186" s="524"/>
      <c r="F186" s="524"/>
      <c r="G186" s="524"/>
      <c r="H186" s="524"/>
      <c r="I186" s="524"/>
      <c r="J186" s="524"/>
      <c r="K186" s="524"/>
      <c r="L186" s="524"/>
      <c r="M186" s="524"/>
      <c r="N186" s="524"/>
    </row>
    <row r="187" spans="2:14" customFormat="1" ht="15" x14ac:dyDescent="0.25">
      <c r="B187" s="27"/>
      <c r="C187" s="27"/>
      <c r="D187" s="27"/>
      <c r="E187" s="27"/>
      <c r="F187" s="27"/>
      <c r="G187" s="27"/>
      <c r="H187" s="27"/>
      <c r="I187" s="457"/>
      <c r="J187" s="27"/>
      <c r="K187" s="27"/>
      <c r="L187" s="27"/>
      <c r="M187" s="27"/>
      <c r="N187" s="27"/>
    </row>
    <row r="188" spans="2:14" customFormat="1" ht="15" x14ac:dyDescent="0.25">
      <c r="B188" s="27"/>
      <c r="C188" s="27"/>
      <c r="D188" s="27"/>
      <c r="E188" s="27"/>
      <c r="F188" s="27"/>
      <c r="G188" s="27"/>
      <c r="H188" s="27"/>
      <c r="I188" s="457"/>
      <c r="J188" s="27"/>
      <c r="K188" s="27"/>
      <c r="L188" s="27"/>
      <c r="M188" s="27"/>
      <c r="N188" s="27"/>
    </row>
    <row r="189" spans="2:14" customFormat="1" ht="18" x14ac:dyDescent="0.25">
      <c r="B189" s="152" t="s">
        <v>189</v>
      </c>
      <c r="C189" s="27"/>
      <c r="D189" s="27"/>
      <c r="E189" s="27"/>
      <c r="F189" s="27"/>
      <c r="G189" s="27"/>
      <c r="H189" s="27"/>
      <c r="I189" s="457"/>
      <c r="J189" s="27"/>
      <c r="K189" s="27"/>
      <c r="L189" s="27"/>
      <c r="M189" s="27"/>
      <c r="N189" s="27"/>
    </row>
    <row r="190" spans="2:14" customFormat="1" ht="7.5" customHeight="1" x14ac:dyDescent="0.25">
      <c r="B190" s="27"/>
      <c r="C190" s="27"/>
      <c r="D190" s="27"/>
      <c r="E190" s="27"/>
      <c r="F190" s="27"/>
      <c r="G190" s="27"/>
      <c r="H190" s="27"/>
      <c r="I190" s="457"/>
      <c r="J190" s="27"/>
      <c r="K190" s="27"/>
      <c r="L190" s="27"/>
      <c r="M190" s="27"/>
      <c r="N190" s="27"/>
    </row>
    <row r="191" spans="2:14" customFormat="1" ht="20.25" customHeight="1" thickBot="1" x14ac:dyDescent="0.3">
      <c r="B191" s="816" t="s">
        <v>129</v>
      </c>
      <c r="C191" s="816"/>
      <c r="D191" s="816"/>
      <c r="E191" s="816"/>
      <c r="F191" s="27"/>
      <c r="G191" s="27"/>
      <c r="H191" s="27"/>
      <c r="I191" s="457"/>
      <c r="J191" s="27"/>
      <c r="K191" s="27"/>
      <c r="L191" s="27"/>
      <c r="M191" s="27"/>
      <c r="N191" s="27"/>
    </row>
    <row r="192" spans="2:14" customFormat="1" ht="15.75" thickTop="1" x14ac:dyDescent="0.25">
      <c r="B192" s="817" t="s">
        <v>169</v>
      </c>
      <c r="C192" s="817"/>
      <c r="D192" s="817"/>
      <c r="E192" s="154">
        <v>1902.8</v>
      </c>
      <c r="F192" s="27"/>
      <c r="G192" s="27"/>
      <c r="H192" s="27"/>
      <c r="I192" s="457"/>
      <c r="J192" s="27"/>
      <c r="K192" s="27"/>
      <c r="L192" s="27"/>
      <c r="M192" s="27"/>
      <c r="N192" s="27"/>
    </row>
    <row r="193" spans="2:14" customFormat="1" ht="15" x14ac:dyDescent="0.25">
      <c r="B193" s="815" t="s">
        <v>50</v>
      </c>
      <c r="C193" s="815"/>
      <c r="D193" s="815"/>
      <c r="E193" s="154">
        <v>28922.5</v>
      </c>
      <c r="F193" s="27"/>
      <c r="G193" s="27"/>
      <c r="H193" s="27"/>
      <c r="I193" s="457"/>
      <c r="J193" s="27"/>
      <c r="K193" s="27"/>
      <c r="L193" s="27"/>
      <c r="M193" s="27"/>
      <c r="N193" s="27"/>
    </row>
    <row r="194" spans="2:14" customFormat="1" ht="15" x14ac:dyDescent="0.25">
      <c r="B194" s="815" t="s">
        <v>171</v>
      </c>
      <c r="C194" s="815"/>
      <c r="D194" s="815"/>
      <c r="E194" s="9">
        <v>17649.77</v>
      </c>
      <c r="F194" s="27"/>
      <c r="G194" s="27"/>
      <c r="H194" s="27"/>
      <c r="I194" s="457"/>
      <c r="J194" s="27"/>
      <c r="K194" s="27"/>
      <c r="L194" s="27"/>
      <c r="M194" s="27"/>
      <c r="N194" s="27"/>
    </row>
    <row r="195" spans="2:14" customFormat="1" ht="15" x14ac:dyDescent="0.25">
      <c r="B195" s="189" t="s">
        <v>133</v>
      </c>
      <c r="C195" s="190"/>
      <c r="D195" s="191"/>
      <c r="E195" s="9">
        <v>89970.240000000005</v>
      </c>
      <c r="F195" s="27"/>
      <c r="G195" s="27"/>
      <c r="H195" s="27"/>
      <c r="I195" s="457"/>
      <c r="J195" s="27"/>
      <c r="K195" s="27"/>
      <c r="L195" s="27"/>
      <c r="M195" s="27"/>
      <c r="N195" s="27"/>
    </row>
    <row r="196" spans="2:14" customFormat="1" ht="15" x14ac:dyDescent="0.25">
      <c r="B196" s="821" t="s">
        <v>52</v>
      </c>
      <c r="C196" s="821"/>
      <c r="D196" s="821"/>
      <c r="E196" s="9">
        <v>0</v>
      </c>
      <c r="F196" s="27"/>
      <c r="G196" s="27"/>
      <c r="H196" s="27"/>
      <c r="I196" s="457"/>
      <c r="J196" s="27"/>
      <c r="K196" s="27"/>
      <c r="L196" s="27"/>
      <c r="M196" s="27"/>
      <c r="N196" s="27"/>
    </row>
    <row r="197" spans="2:14" customFormat="1" ht="15" x14ac:dyDescent="0.25">
      <c r="B197" s="184" t="s">
        <v>172</v>
      </c>
      <c r="C197" s="35"/>
      <c r="D197" s="185"/>
      <c r="E197" s="19">
        <v>0</v>
      </c>
      <c r="F197" s="27"/>
      <c r="G197" s="27"/>
      <c r="H197" s="27"/>
      <c r="I197" s="457"/>
      <c r="J197" s="27"/>
      <c r="K197" s="27"/>
      <c r="L197" s="27"/>
      <c r="M197" s="27"/>
      <c r="N197" s="27"/>
    </row>
    <row r="198" spans="2:14" customFormat="1" ht="15" x14ac:dyDescent="0.25">
      <c r="B198" s="184" t="s">
        <v>190</v>
      </c>
      <c r="C198" s="35"/>
      <c r="D198" s="185"/>
      <c r="E198" s="19">
        <v>0</v>
      </c>
      <c r="F198" s="27"/>
      <c r="G198" s="27"/>
      <c r="H198" s="27"/>
      <c r="I198" s="457"/>
      <c r="J198" s="27"/>
      <c r="K198" s="27"/>
      <c r="L198" s="27"/>
      <c r="M198" s="27"/>
      <c r="N198" s="27"/>
    </row>
    <row r="199" spans="2:14" customFormat="1" ht="15.75" thickBot="1" x14ac:dyDescent="0.3">
      <c r="B199" s="182" t="s">
        <v>135</v>
      </c>
      <c r="C199" s="125"/>
      <c r="D199" s="126"/>
      <c r="E199" s="192">
        <v>0</v>
      </c>
      <c r="F199" s="27"/>
      <c r="G199" s="27"/>
      <c r="H199" s="27"/>
      <c r="I199" s="457"/>
      <c r="J199" s="27"/>
      <c r="K199" s="27"/>
      <c r="L199" s="27"/>
      <c r="M199" s="27"/>
      <c r="N199" s="27"/>
    </row>
    <row r="200" spans="2:14" customFormat="1" ht="21" customHeight="1" thickTop="1" x14ac:dyDescent="0.25">
      <c r="B200" s="820" t="s">
        <v>125</v>
      </c>
      <c r="C200" s="820"/>
      <c r="D200" s="820"/>
      <c r="E200" s="164">
        <f>SUM(E192:E199)</f>
        <v>138445.31</v>
      </c>
      <c r="F200" s="27"/>
      <c r="G200" s="27"/>
      <c r="H200" s="27"/>
      <c r="I200" s="457"/>
      <c r="J200" s="27"/>
      <c r="K200" s="27"/>
      <c r="L200" s="27"/>
      <c r="M200" s="27"/>
      <c r="N200" s="27"/>
    </row>
    <row r="201" spans="2:14" customFormat="1" ht="9.75" customHeight="1" x14ac:dyDescent="0.25">
      <c r="B201" s="27"/>
      <c r="C201" s="27"/>
      <c r="D201" s="27"/>
      <c r="E201" s="27"/>
      <c r="F201" s="27"/>
      <c r="G201" s="27"/>
      <c r="H201" s="27"/>
      <c r="I201" s="457"/>
      <c r="J201" s="27"/>
      <c r="K201" s="27"/>
      <c r="L201" s="27"/>
      <c r="M201" s="27"/>
      <c r="N201" s="27"/>
    </row>
    <row r="202" spans="2:14" s="129" customFormat="1" ht="68.25" thickBot="1" x14ac:dyDescent="0.3">
      <c r="B202" s="750" t="s">
        <v>56</v>
      </c>
      <c r="C202" s="892" t="s">
        <v>548</v>
      </c>
      <c r="D202" s="892" t="s">
        <v>1033</v>
      </c>
      <c r="E202" s="892" t="s">
        <v>1034</v>
      </c>
      <c r="F202" s="892" t="s">
        <v>175</v>
      </c>
      <c r="G202" s="892" t="s">
        <v>176</v>
      </c>
      <c r="H202" s="892" t="s">
        <v>177</v>
      </c>
      <c r="I202" s="892" t="s">
        <v>547</v>
      </c>
      <c r="J202" s="166" t="s">
        <v>125</v>
      </c>
    </row>
    <row r="203" spans="2:14" customFormat="1" ht="15.75" thickTop="1" x14ac:dyDescent="0.25">
      <c r="B203" s="167" t="s">
        <v>62</v>
      </c>
      <c r="C203" s="168">
        <v>0</v>
      </c>
      <c r="D203" s="168">
        <v>303082</v>
      </c>
      <c r="E203" s="168">
        <v>536626</v>
      </c>
      <c r="F203" s="168">
        <v>44139</v>
      </c>
      <c r="G203" s="168">
        <v>51182</v>
      </c>
      <c r="H203" s="168">
        <v>97153</v>
      </c>
      <c r="I203" s="168">
        <v>0</v>
      </c>
      <c r="J203" s="168">
        <f>C203+D203+E203+F203+G203+H203+I203</f>
        <v>1032182</v>
      </c>
      <c r="K203" s="27"/>
      <c r="L203" s="27"/>
      <c r="M203" s="27"/>
      <c r="N203" s="27"/>
    </row>
    <row r="204" spans="2:14" customFormat="1" ht="15" x14ac:dyDescent="0.25">
      <c r="B204" s="169" t="s">
        <v>63</v>
      </c>
      <c r="C204" s="170">
        <v>0</v>
      </c>
      <c r="D204" s="170">
        <v>108056</v>
      </c>
      <c r="E204" s="170">
        <v>185873</v>
      </c>
      <c r="F204" s="170">
        <v>16229</v>
      </c>
      <c r="G204" s="170">
        <v>18053</v>
      </c>
      <c r="H204" s="170">
        <v>34200</v>
      </c>
      <c r="I204" s="170">
        <v>0</v>
      </c>
      <c r="J204" s="170">
        <f t="shared" ref="J204:J214" si="21">C204+D204+E204+F204+G204+H204+I204</f>
        <v>362411</v>
      </c>
      <c r="K204" s="27"/>
      <c r="L204" s="27"/>
      <c r="M204" s="27"/>
      <c r="N204" s="27"/>
    </row>
    <row r="205" spans="2:14" customFormat="1" ht="15" x14ac:dyDescent="0.25">
      <c r="B205" s="169" t="s">
        <v>64</v>
      </c>
      <c r="C205" s="170">
        <f t="shared" ref="C205:H205" si="22">SUM(C206:C211)</f>
        <v>0</v>
      </c>
      <c r="D205" s="170">
        <f t="shared" si="22"/>
        <v>68183</v>
      </c>
      <c r="E205" s="170">
        <f t="shared" si="22"/>
        <v>85105.29</v>
      </c>
      <c r="F205" s="170">
        <f t="shared" si="22"/>
        <v>98644.06</v>
      </c>
      <c r="G205" s="170">
        <f t="shared" si="22"/>
        <v>9563</v>
      </c>
      <c r="H205" s="170">
        <f t="shared" si="22"/>
        <v>10166</v>
      </c>
      <c r="I205" s="170">
        <v>0</v>
      </c>
      <c r="J205" s="170">
        <f t="shared" si="21"/>
        <v>271661.34999999998</v>
      </c>
      <c r="K205" s="27"/>
      <c r="L205" s="27"/>
      <c r="M205" s="27"/>
      <c r="N205" s="27"/>
    </row>
    <row r="206" spans="2:14" customFormat="1" ht="15" x14ac:dyDescent="0.25">
      <c r="B206" s="171" t="s">
        <v>81</v>
      </c>
      <c r="C206" s="9"/>
      <c r="D206" s="9">
        <v>113</v>
      </c>
      <c r="E206" s="9">
        <v>137</v>
      </c>
      <c r="F206" s="9">
        <v>0</v>
      </c>
      <c r="G206" s="9">
        <v>0</v>
      </c>
      <c r="H206" s="9">
        <v>0</v>
      </c>
      <c r="I206" s="9"/>
      <c r="J206" s="9">
        <f t="shared" si="21"/>
        <v>250</v>
      </c>
      <c r="K206" s="27"/>
      <c r="L206" s="27"/>
      <c r="M206" s="27"/>
      <c r="N206" s="27"/>
    </row>
    <row r="207" spans="2:14" customFormat="1" ht="15" x14ac:dyDescent="0.25">
      <c r="B207" s="171" t="s">
        <v>65</v>
      </c>
      <c r="C207" s="9"/>
      <c r="D207" s="9">
        <v>19860</v>
      </c>
      <c r="E207" s="9">
        <v>23591.67</v>
      </c>
      <c r="F207" s="9">
        <v>1292</v>
      </c>
      <c r="G207" s="9">
        <v>3296</v>
      </c>
      <c r="H207" s="9">
        <v>6294</v>
      </c>
      <c r="I207" s="9"/>
      <c r="J207" s="9">
        <f t="shared" si="21"/>
        <v>54333.67</v>
      </c>
      <c r="K207" s="27"/>
      <c r="L207" s="27"/>
      <c r="M207" s="27"/>
      <c r="N207" s="27"/>
    </row>
    <row r="208" spans="2:14" customFormat="1" ht="15" x14ac:dyDescent="0.25">
      <c r="B208" s="171" t="s">
        <v>66</v>
      </c>
      <c r="C208" s="9"/>
      <c r="D208" s="9">
        <v>18810</v>
      </c>
      <c r="E208" s="9">
        <v>19571</v>
      </c>
      <c r="F208" s="9">
        <v>91056.06</v>
      </c>
      <c r="G208" s="9">
        <v>3912</v>
      </c>
      <c r="H208" s="9">
        <v>3372</v>
      </c>
      <c r="I208" s="9"/>
      <c r="J208" s="9">
        <f t="shared" si="21"/>
        <v>136721.06</v>
      </c>
      <c r="K208" s="27"/>
      <c r="L208" s="27"/>
      <c r="M208" s="27"/>
      <c r="N208" s="27"/>
    </row>
    <row r="209" spans="2:14" customFormat="1" ht="15" x14ac:dyDescent="0.25">
      <c r="B209" s="171" t="s">
        <v>67</v>
      </c>
      <c r="C209" s="9"/>
      <c r="D209" s="9">
        <v>0</v>
      </c>
      <c r="E209" s="9">
        <v>0</v>
      </c>
      <c r="F209" s="9">
        <v>0</v>
      </c>
      <c r="G209" s="9">
        <v>0</v>
      </c>
      <c r="H209" s="9">
        <v>0</v>
      </c>
      <c r="I209" s="9"/>
      <c r="J209" s="9">
        <f t="shared" si="21"/>
        <v>0</v>
      </c>
      <c r="K209" s="27"/>
      <c r="L209" s="27"/>
      <c r="M209" s="27"/>
      <c r="N209" s="27"/>
    </row>
    <row r="210" spans="2:14" customFormat="1" ht="15" x14ac:dyDescent="0.25">
      <c r="B210" s="171" t="s">
        <v>68</v>
      </c>
      <c r="C210" s="9"/>
      <c r="D210" s="9">
        <v>8400</v>
      </c>
      <c r="E210" s="9">
        <v>10800</v>
      </c>
      <c r="F210" s="9">
        <v>645</v>
      </c>
      <c r="G210" s="9">
        <v>855</v>
      </c>
      <c r="H210" s="9">
        <v>0</v>
      </c>
      <c r="I210" s="9"/>
      <c r="J210" s="9">
        <f t="shared" si="21"/>
        <v>20700</v>
      </c>
      <c r="K210" s="27"/>
      <c r="L210" s="27"/>
      <c r="M210" s="27"/>
      <c r="N210" s="27"/>
    </row>
    <row r="211" spans="2:14" customFormat="1" ht="15" x14ac:dyDescent="0.25">
      <c r="B211" s="171" t="s">
        <v>70</v>
      </c>
      <c r="C211" s="9"/>
      <c r="D211" s="9">
        <v>21000</v>
      </c>
      <c r="E211" s="9">
        <v>31005.62</v>
      </c>
      <c r="F211" s="9">
        <v>5651</v>
      </c>
      <c r="G211" s="9">
        <v>1500</v>
      </c>
      <c r="H211" s="9">
        <v>500</v>
      </c>
      <c r="I211" s="9"/>
      <c r="J211" s="9">
        <f t="shared" si="21"/>
        <v>59656.619999999995</v>
      </c>
      <c r="K211" s="27"/>
      <c r="L211" s="27"/>
      <c r="M211" s="27"/>
      <c r="N211" s="27"/>
    </row>
    <row r="212" spans="2:14" customFormat="1" ht="15.75" thickBot="1" x14ac:dyDescent="0.3">
      <c r="B212" s="172" t="s">
        <v>71</v>
      </c>
      <c r="C212" s="173">
        <v>0</v>
      </c>
      <c r="D212" s="173">
        <v>1351</v>
      </c>
      <c r="E212" s="173">
        <v>3422.42</v>
      </c>
      <c r="F212" s="173">
        <v>758</v>
      </c>
      <c r="G212" s="173">
        <v>373</v>
      </c>
      <c r="H212" s="173">
        <v>1270</v>
      </c>
      <c r="I212" s="173">
        <v>0</v>
      </c>
      <c r="J212" s="173">
        <f t="shared" si="21"/>
        <v>7174.42</v>
      </c>
      <c r="K212" s="27"/>
      <c r="L212" s="27"/>
      <c r="M212" s="27"/>
      <c r="N212" s="27"/>
    </row>
    <row r="213" spans="2:14" s="456" customFormat="1" ht="26.25" thickTop="1" x14ac:dyDescent="0.25">
      <c r="B213" s="515" t="s">
        <v>550</v>
      </c>
      <c r="C213" s="516"/>
      <c r="D213" s="516"/>
      <c r="E213" s="516"/>
      <c r="F213" s="516"/>
      <c r="G213" s="516">
        <v>7997.76</v>
      </c>
      <c r="H213" s="516"/>
      <c r="I213" s="516"/>
      <c r="J213" s="516"/>
      <c r="K213" s="457"/>
      <c r="L213" s="457"/>
      <c r="M213" s="457"/>
      <c r="N213" s="457"/>
    </row>
    <row r="214" spans="2:14" customFormat="1" ht="24" customHeight="1" x14ac:dyDescent="0.25">
      <c r="B214" s="174" t="s">
        <v>125</v>
      </c>
      <c r="C214" s="164">
        <f t="shared" ref="C214:H214" si="23">C203+C204+C205+C212</f>
        <v>0</v>
      </c>
      <c r="D214" s="164">
        <f t="shared" si="23"/>
        <v>480672</v>
      </c>
      <c r="E214" s="164">
        <f t="shared" si="23"/>
        <v>811026.71000000008</v>
      </c>
      <c r="F214" s="164">
        <f t="shared" si="23"/>
        <v>159770.06</v>
      </c>
      <c r="G214" s="164">
        <f>G203+G204+G205+G212+G213</f>
        <v>87168.76</v>
      </c>
      <c r="H214" s="164">
        <f t="shared" si="23"/>
        <v>142789</v>
      </c>
      <c r="I214" s="164">
        <v>0</v>
      </c>
      <c r="J214" s="164">
        <f t="shared" si="21"/>
        <v>1681426.53</v>
      </c>
      <c r="K214" s="27"/>
      <c r="L214" s="27"/>
      <c r="M214" s="27"/>
      <c r="N214" s="27"/>
    </row>
    <row r="215" spans="2:14" customFormat="1" ht="15" x14ac:dyDescent="0.25">
      <c r="B215" s="27"/>
      <c r="C215" s="27"/>
      <c r="D215" s="27"/>
      <c r="E215" s="27"/>
      <c r="F215" s="27"/>
      <c r="G215" s="27"/>
      <c r="H215" s="193"/>
      <c r="I215" s="193"/>
      <c r="J215" s="27"/>
      <c r="K215" s="27"/>
      <c r="L215" s="27"/>
      <c r="M215" s="27"/>
      <c r="N215" s="27"/>
    </row>
    <row r="216" spans="2:14" customFormat="1" ht="18" x14ac:dyDescent="0.25">
      <c r="B216" s="152" t="s">
        <v>191</v>
      </c>
      <c r="C216" s="27"/>
      <c r="D216" s="27"/>
      <c r="E216" s="27"/>
      <c r="F216" s="27"/>
      <c r="G216" s="27"/>
      <c r="H216" s="27"/>
      <c r="I216" s="457"/>
      <c r="J216" s="27"/>
      <c r="K216" s="27"/>
      <c r="L216" s="27"/>
      <c r="M216" s="27"/>
      <c r="N216" s="27"/>
    </row>
    <row r="217" spans="2:14" customFormat="1" ht="7.5" customHeight="1" x14ac:dyDescent="0.25">
      <c r="B217" s="27"/>
      <c r="C217" s="27"/>
      <c r="D217" s="27"/>
      <c r="E217" s="27"/>
      <c r="F217" s="27"/>
      <c r="G217" s="27"/>
      <c r="H217" s="27"/>
      <c r="I217" s="457"/>
      <c r="J217" s="27"/>
      <c r="K217" s="27"/>
      <c r="L217" s="27"/>
      <c r="M217" s="27"/>
      <c r="N217" s="27"/>
    </row>
    <row r="218" spans="2:14" s="127" customFormat="1" ht="19.5" customHeight="1" thickBot="1" x14ac:dyDescent="0.3">
      <c r="B218" s="816" t="s">
        <v>129</v>
      </c>
      <c r="C218" s="816"/>
      <c r="D218" s="816"/>
      <c r="E218" s="816"/>
    </row>
    <row r="219" spans="2:14" customFormat="1" ht="15.75" thickTop="1" x14ac:dyDescent="0.25">
      <c r="B219" s="817" t="s">
        <v>169</v>
      </c>
      <c r="C219" s="817"/>
      <c r="D219" s="817"/>
      <c r="E219" s="187">
        <v>5213.7299999999996</v>
      </c>
      <c r="F219" s="27"/>
      <c r="G219" s="27"/>
      <c r="H219" s="27"/>
      <c r="I219" s="457"/>
      <c r="J219" s="27"/>
      <c r="K219" s="27"/>
      <c r="L219" s="27"/>
      <c r="M219" s="27"/>
      <c r="N219" s="27"/>
    </row>
    <row r="220" spans="2:14" customFormat="1" ht="15" x14ac:dyDescent="0.25">
      <c r="B220" s="815" t="s">
        <v>170</v>
      </c>
      <c r="C220" s="815"/>
      <c r="D220" s="815"/>
      <c r="E220" s="181">
        <v>24767.17</v>
      </c>
      <c r="F220" s="27"/>
      <c r="G220" s="27"/>
      <c r="H220" s="27"/>
      <c r="I220" s="457"/>
      <c r="J220" s="27"/>
      <c r="K220" s="27"/>
      <c r="L220" s="27"/>
      <c r="M220" s="27"/>
      <c r="N220" s="27"/>
    </row>
    <row r="221" spans="2:14" customFormat="1" ht="15" x14ac:dyDescent="0.25">
      <c r="B221" s="815" t="s">
        <v>171</v>
      </c>
      <c r="C221" s="815"/>
      <c r="D221" s="815"/>
      <c r="E221" s="181">
        <v>17779.599999999999</v>
      </c>
      <c r="F221" s="27"/>
      <c r="G221" s="27"/>
      <c r="H221" s="27"/>
      <c r="I221" s="457"/>
      <c r="J221" s="27"/>
      <c r="K221" s="27"/>
      <c r="L221" s="27"/>
      <c r="M221" s="27"/>
      <c r="N221" s="27"/>
    </row>
    <row r="222" spans="2:14" s="122" customFormat="1" x14ac:dyDescent="0.25">
      <c r="B222" s="818" t="s">
        <v>133</v>
      </c>
      <c r="C222" s="818"/>
      <c r="D222" s="818"/>
      <c r="E222" s="155">
        <v>153171.06</v>
      </c>
    </row>
    <row r="223" spans="2:14" s="122" customFormat="1" x14ac:dyDescent="0.25">
      <c r="B223" s="525" t="s">
        <v>52</v>
      </c>
      <c r="C223" s="511"/>
      <c r="D223" s="512"/>
      <c r="E223" s="155">
        <v>3151.79</v>
      </c>
    </row>
    <row r="224" spans="2:14" s="122" customFormat="1" ht="14.25" customHeight="1" x14ac:dyDescent="0.25">
      <c r="B224" s="160" t="s">
        <v>173</v>
      </c>
      <c r="C224" s="161"/>
      <c r="D224" s="162"/>
      <c r="E224" s="155">
        <v>993</v>
      </c>
    </row>
    <row r="225" spans="2:14" s="122" customFormat="1" ht="13.5" thickBot="1" x14ac:dyDescent="0.3">
      <c r="B225" s="819" t="s">
        <v>135</v>
      </c>
      <c r="C225" s="819"/>
      <c r="D225" s="819"/>
      <c r="E225" s="163">
        <v>0</v>
      </c>
    </row>
    <row r="226" spans="2:14" customFormat="1" ht="20.25" customHeight="1" thickTop="1" x14ac:dyDescent="0.25">
      <c r="B226" s="820" t="s">
        <v>125</v>
      </c>
      <c r="C226" s="820"/>
      <c r="D226" s="820"/>
      <c r="E226" s="188">
        <f>SUM(E219:E225)</f>
        <v>205076.35</v>
      </c>
      <c r="F226" s="27"/>
      <c r="G226" s="27"/>
      <c r="H226" s="27"/>
      <c r="I226" s="457"/>
      <c r="J226" s="27"/>
      <c r="K226" s="27"/>
      <c r="L226" s="27"/>
      <c r="M226" s="27"/>
      <c r="N226" s="27"/>
    </row>
    <row r="227" spans="2:14" customFormat="1" ht="10.5" customHeight="1" x14ac:dyDescent="0.25">
      <c r="B227" s="27"/>
      <c r="C227" s="27"/>
      <c r="D227" s="27"/>
      <c r="E227" s="27"/>
      <c r="F227" s="27"/>
      <c r="G227" s="27"/>
      <c r="H227" s="27"/>
      <c r="I227" s="457"/>
      <c r="J227" s="27"/>
      <c r="K227" s="27"/>
      <c r="L227" s="27"/>
      <c r="M227" s="27"/>
      <c r="N227" s="27"/>
    </row>
    <row r="228" spans="2:14" s="129" customFormat="1" ht="68.25" thickBot="1" x14ac:dyDescent="0.3">
      <c r="B228" s="750" t="s">
        <v>56</v>
      </c>
      <c r="C228" s="892" t="s">
        <v>548</v>
      </c>
      <c r="D228" s="892" t="s">
        <v>1033</v>
      </c>
      <c r="E228" s="892" t="s">
        <v>1034</v>
      </c>
      <c r="F228" s="892" t="s">
        <v>175</v>
      </c>
      <c r="G228" s="892" t="s">
        <v>176</v>
      </c>
      <c r="H228" s="892" t="s">
        <v>177</v>
      </c>
      <c r="I228" s="892" t="s">
        <v>547</v>
      </c>
      <c r="J228" s="166" t="s">
        <v>125</v>
      </c>
    </row>
    <row r="229" spans="2:14" customFormat="1" ht="15.75" thickTop="1" x14ac:dyDescent="0.25">
      <c r="B229" s="167" t="s">
        <v>62</v>
      </c>
      <c r="C229" s="168">
        <v>0</v>
      </c>
      <c r="D229" s="168">
        <v>411960</v>
      </c>
      <c r="E229" s="168">
        <v>507410</v>
      </c>
      <c r="F229" s="168">
        <v>52325</v>
      </c>
      <c r="G229" s="168">
        <v>50520.36</v>
      </c>
      <c r="H229" s="168">
        <v>113326.64</v>
      </c>
      <c r="I229" s="168">
        <v>0</v>
      </c>
      <c r="J229" s="168">
        <f t="shared" ref="J229:J241" si="24">C229+D229+E229+F229+G229+H229</f>
        <v>1135542</v>
      </c>
      <c r="K229" s="27"/>
      <c r="L229" s="27"/>
      <c r="M229" s="27"/>
      <c r="N229" s="27"/>
    </row>
    <row r="230" spans="2:14" customFormat="1" ht="15" x14ac:dyDescent="0.25">
      <c r="B230" s="169" t="s">
        <v>63</v>
      </c>
      <c r="C230" s="170">
        <v>0</v>
      </c>
      <c r="D230" s="170">
        <v>179020</v>
      </c>
      <c r="E230" s="170">
        <v>174758</v>
      </c>
      <c r="F230" s="170">
        <v>19410</v>
      </c>
      <c r="G230" s="170">
        <v>19070.580000000002</v>
      </c>
      <c r="H230" s="170">
        <v>41279.51</v>
      </c>
      <c r="I230" s="170">
        <v>0</v>
      </c>
      <c r="J230" s="170">
        <f t="shared" si="24"/>
        <v>433538.09</v>
      </c>
      <c r="K230" s="27"/>
      <c r="L230" s="27"/>
      <c r="M230" s="27"/>
      <c r="N230" s="27"/>
    </row>
    <row r="231" spans="2:14" customFormat="1" ht="15" x14ac:dyDescent="0.25">
      <c r="B231" s="169" t="s">
        <v>64</v>
      </c>
      <c r="C231" s="170">
        <f t="shared" ref="C231:I231" si="25">SUM(C232:C238)</f>
        <v>0</v>
      </c>
      <c r="D231" s="170">
        <f t="shared" si="25"/>
        <v>50013.93</v>
      </c>
      <c r="E231" s="170">
        <f t="shared" si="25"/>
        <v>161222.53</v>
      </c>
      <c r="F231" s="170">
        <f t="shared" si="25"/>
        <v>87028.18</v>
      </c>
      <c r="G231" s="170">
        <f t="shared" si="25"/>
        <v>99333.66</v>
      </c>
      <c r="H231" s="170">
        <f t="shared" si="25"/>
        <v>10253.85</v>
      </c>
      <c r="I231" s="170">
        <f t="shared" si="25"/>
        <v>362.6</v>
      </c>
      <c r="J231" s="170">
        <f t="shared" si="24"/>
        <v>407852.15</v>
      </c>
      <c r="K231" s="27"/>
      <c r="L231" s="27"/>
      <c r="M231" s="27"/>
      <c r="N231" s="27"/>
    </row>
    <row r="232" spans="2:14" customFormat="1" ht="15" x14ac:dyDescent="0.25">
      <c r="B232" s="171" t="s">
        <v>81</v>
      </c>
      <c r="C232" s="9"/>
      <c r="D232" s="9">
        <v>1139</v>
      </c>
      <c r="E232" s="9">
        <v>110.57</v>
      </c>
      <c r="F232" s="9">
        <v>0</v>
      </c>
      <c r="G232" s="9">
        <v>0</v>
      </c>
      <c r="H232" s="9">
        <v>0</v>
      </c>
      <c r="I232" s="9"/>
      <c r="J232" s="9">
        <f t="shared" si="24"/>
        <v>1249.57</v>
      </c>
      <c r="K232" s="27"/>
      <c r="L232" s="27"/>
      <c r="M232" s="27"/>
      <c r="N232" s="27"/>
    </row>
    <row r="233" spans="2:14" customFormat="1" ht="15" x14ac:dyDescent="0.25">
      <c r="B233" s="171" t="s">
        <v>65</v>
      </c>
      <c r="C233" s="9"/>
      <c r="D233" s="9">
        <v>18400.93</v>
      </c>
      <c r="E233" s="9">
        <v>43599.31</v>
      </c>
      <c r="F233" s="9">
        <v>7120</v>
      </c>
      <c r="G233" s="9">
        <v>9176.3799999999992</v>
      </c>
      <c r="H233" s="9">
        <v>400</v>
      </c>
      <c r="I233" s="9"/>
      <c r="J233" s="9">
        <f t="shared" si="24"/>
        <v>78696.62</v>
      </c>
      <c r="K233" s="27"/>
      <c r="L233" s="27"/>
      <c r="M233" s="27"/>
      <c r="N233" s="27"/>
    </row>
    <row r="234" spans="2:14" customFormat="1" ht="15" x14ac:dyDescent="0.25">
      <c r="B234" s="171" t="s">
        <v>66</v>
      </c>
      <c r="C234" s="9"/>
      <c r="D234" s="9">
        <v>9110</v>
      </c>
      <c r="E234" s="9">
        <v>21371.3</v>
      </c>
      <c r="F234" s="9">
        <v>76278.179999999993</v>
      </c>
      <c r="G234" s="9">
        <v>60834.3</v>
      </c>
      <c r="H234" s="9">
        <v>8103.85</v>
      </c>
      <c r="I234" s="9">
        <v>362.6</v>
      </c>
      <c r="J234" s="9">
        <f t="shared" si="24"/>
        <v>175697.63</v>
      </c>
      <c r="K234" s="27"/>
      <c r="L234" s="27"/>
      <c r="M234" s="27"/>
      <c r="N234" s="27"/>
    </row>
    <row r="235" spans="2:14" s="513" customFormat="1" ht="15" x14ac:dyDescent="0.25">
      <c r="B235" s="171" t="s">
        <v>67</v>
      </c>
      <c r="C235" s="9"/>
      <c r="D235" s="9">
        <v>1224</v>
      </c>
      <c r="E235" s="9">
        <v>0</v>
      </c>
      <c r="F235" s="9">
        <v>0</v>
      </c>
      <c r="G235" s="9">
        <v>0</v>
      </c>
      <c r="H235" s="9">
        <v>0</v>
      </c>
      <c r="I235" s="9"/>
      <c r="J235" s="9">
        <f t="shared" si="24"/>
        <v>1224</v>
      </c>
      <c r="K235" s="514"/>
      <c r="L235" s="514"/>
      <c r="M235" s="514"/>
      <c r="N235" s="514"/>
    </row>
    <row r="236" spans="2:14" customFormat="1" ht="15" x14ac:dyDescent="0.25">
      <c r="B236" s="171" t="s">
        <v>68</v>
      </c>
      <c r="C236" s="9"/>
      <c r="D236" s="9">
        <v>2500</v>
      </c>
      <c r="E236" s="9">
        <v>39263.71</v>
      </c>
      <c r="F236" s="9">
        <v>1000</v>
      </c>
      <c r="G236" s="9">
        <v>2150</v>
      </c>
      <c r="H236" s="9">
        <v>0</v>
      </c>
      <c r="I236" s="9"/>
      <c r="J236" s="9">
        <f t="shared" si="24"/>
        <v>44913.71</v>
      </c>
      <c r="K236" s="27"/>
      <c r="L236" s="27"/>
      <c r="M236" s="27"/>
      <c r="N236" s="27"/>
    </row>
    <row r="237" spans="2:14" customFormat="1" ht="15" x14ac:dyDescent="0.25">
      <c r="B237" s="171" t="s">
        <v>185</v>
      </c>
      <c r="C237" s="9"/>
      <c r="D237" s="9">
        <v>2400</v>
      </c>
      <c r="E237" s="9">
        <v>3009.38</v>
      </c>
      <c r="F237" s="9">
        <v>0</v>
      </c>
      <c r="G237" s="9">
        <v>0</v>
      </c>
      <c r="H237" s="9">
        <v>0</v>
      </c>
      <c r="I237" s="9"/>
      <c r="J237" s="9">
        <f t="shared" si="24"/>
        <v>5409.38</v>
      </c>
      <c r="K237" s="27"/>
      <c r="L237" s="27"/>
      <c r="M237" s="27"/>
      <c r="N237" s="27"/>
    </row>
    <row r="238" spans="2:14" customFormat="1" ht="15" x14ac:dyDescent="0.25">
      <c r="B238" s="171" t="s">
        <v>70</v>
      </c>
      <c r="C238" s="9"/>
      <c r="D238" s="9">
        <v>15240</v>
      </c>
      <c r="E238" s="9">
        <v>53868.26</v>
      </c>
      <c r="F238" s="9">
        <v>2630</v>
      </c>
      <c r="G238" s="9">
        <v>27172.98</v>
      </c>
      <c r="H238" s="9">
        <v>1750</v>
      </c>
      <c r="I238" s="9"/>
      <c r="J238" s="9">
        <f t="shared" si="24"/>
        <v>100661.24</v>
      </c>
      <c r="K238" s="27"/>
      <c r="L238" s="27"/>
      <c r="M238" s="27"/>
      <c r="N238" s="27"/>
    </row>
    <row r="239" spans="2:14" customFormat="1" ht="15" x14ac:dyDescent="0.25">
      <c r="B239" s="169" t="s">
        <v>71</v>
      </c>
      <c r="C239" s="170">
        <v>0</v>
      </c>
      <c r="D239" s="170">
        <v>9930</v>
      </c>
      <c r="E239" s="170">
        <v>15899.79</v>
      </c>
      <c r="F239" s="170">
        <v>250</v>
      </c>
      <c r="G239" s="170">
        <v>2874.46</v>
      </c>
      <c r="H239" s="170">
        <v>1100</v>
      </c>
      <c r="I239" s="170">
        <v>0</v>
      </c>
      <c r="J239" s="170">
        <f t="shared" si="24"/>
        <v>30054.25</v>
      </c>
      <c r="K239" s="27"/>
      <c r="L239" s="27"/>
      <c r="M239" s="27"/>
      <c r="N239" s="27"/>
    </row>
    <row r="240" spans="2:14" s="513" customFormat="1" ht="25.5" x14ac:dyDescent="0.25">
      <c r="B240" s="169" t="s">
        <v>549</v>
      </c>
      <c r="C240" s="170"/>
      <c r="D240" s="170"/>
      <c r="E240" s="170"/>
      <c r="F240" s="170"/>
      <c r="G240" s="170">
        <v>3883.8</v>
      </c>
      <c r="H240" s="170"/>
      <c r="I240" s="170">
        <v>0</v>
      </c>
      <c r="J240" s="170">
        <f t="shared" si="24"/>
        <v>3883.8</v>
      </c>
      <c r="K240" s="514"/>
      <c r="L240" s="514"/>
      <c r="M240" s="514"/>
      <c r="N240" s="514"/>
    </row>
    <row r="241" spans="2:14" s="127" customFormat="1" x14ac:dyDescent="0.25">
      <c r="B241" s="194" t="s">
        <v>142</v>
      </c>
      <c r="C241" s="195">
        <v>0</v>
      </c>
      <c r="D241" s="195">
        <v>0</v>
      </c>
      <c r="E241" s="195">
        <v>2320</v>
      </c>
      <c r="F241" s="195"/>
      <c r="G241" s="195"/>
      <c r="H241" s="195">
        <v>0</v>
      </c>
      <c r="I241" s="195"/>
      <c r="J241" s="195">
        <f t="shared" si="24"/>
        <v>2320</v>
      </c>
    </row>
    <row r="242" spans="2:14" customFormat="1" ht="17.25" customHeight="1" x14ac:dyDescent="0.25">
      <c r="B242" s="174" t="s">
        <v>125</v>
      </c>
      <c r="C242" s="164">
        <f t="shared" ref="C242:D242" si="26">C229+C230+C231+C239+C241</f>
        <v>0</v>
      </c>
      <c r="D242" s="164">
        <f t="shared" si="26"/>
        <v>650923.93000000005</v>
      </c>
      <c r="E242" s="164">
        <f>E229+E230+E231+E239+E241</f>
        <v>861610.32000000007</v>
      </c>
      <c r="F242" s="164">
        <f>F229+F230+F231+F239+F241</f>
        <v>159013.18</v>
      </c>
      <c r="G242" s="164">
        <f>G229+G230+G231+G239+G241+G240</f>
        <v>175682.86</v>
      </c>
      <c r="H242" s="164">
        <f>H229+H230+H231+H239+H241</f>
        <v>165960</v>
      </c>
      <c r="I242" s="164">
        <f>I229+I230+I231+I239+I241</f>
        <v>362.6</v>
      </c>
      <c r="J242" s="164">
        <f>C242+D242+E242+F242+G242+H242+I242</f>
        <v>2013552.8900000001</v>
      </c>
      <c r="K242" s="27"/>
      <c r="L242" s="148"/>
      <c r="M242" s="27"/>
      <c r="N242" s="27"/>
    </row>
    <row r="243" spans="2:14" customFormat="1" ht="15" x14ac:dyDescent="0.25">
      <c r="B243" s="27"/>
      <c r="C243" s="27"/>
      <c r="D243" s="27"/>
      <c r="E243" s="27"/>
      <c r="F243" s="27"/>
      <c r="G243" s="27"/>
      <c r="H243" s="27"/>
      <c r="I243" s="457"/>
      <c r="J243" s="27"/>
      <c r="K243" s="27"/>
      <c r="L243" s="27"/>
      <c r="M243" s="27"/>
      <c r="N243" s="27"/>
    </row>
    <row r="244" spans="2:14" customFormat="1" ht="15" x14ac:dyDescent="0.25">
      <c r="B244" s="27"/>
      <c r="C244" s="27"/>
      <c r="D244" s="27"/>
      <c r="E244" s="27"/>
      <c r="F244" s="27"/>
      <c r="G244" s="27"/>
      <c r="H244" s="27"/>
      <c r="I244" s="457"/>
      <c r="J244" s="27"/>
      <c r="K244" s="27"/>
      <c r="L244" s="27"/>
      <c r="M244" s="27"/>
      <c r="N244" s="27"/>
    </row>
    <row r="245" spans="2:14" customFormat="1" ht="15" x14ac:dyDescent="0.25">
      <c r="B245" s="27"/>
      <c r="C245" s="27"/>
      <c r="D245" s="27"/>
      <c r="E245" s="27"/>
      <c r="F245" s="27"/>
      <c r="G245" s="27"/>
      <c r="H245" s="27"/>
      <c r="I245" s="457"/>
      <c r="J245" s="27"/>
      <c r="K245" s="27"/>
      <c r="L245" s="27"/>
      <c r="M245" s="27"/>
      <c r="N245" s="27"/>
    </row>
    <row r="246" spans="2:14" s="751" customFormat="1" ht="15" x14ac:dyDescent="0.25">
      <c r="B246" s="524"/>
      <c r="C246" s="524"/>
      <c r="D246" s="524"/>
      <c r="E246" s="524"/>
      <c r="F246" s="524"/>
      <c r="G246" s="524"/>
      <c r="H246" s="524"/>
      <c r="I246" s="524"/>
      <c r="J246" s="524"/>
      <c r="K246" s="524"/>
      <c r="L246" s="524"/>
      <c r="M246" s="524"/>
      <c r="N246" s="524"/>
    </row>
    <row r="247" spans="2:14" s="751" customFormat="1" ht="15" x14ac:dyDescent="0.25">
      <c r="B247" s="524"/>
      <c r="C247" s="524"/>
      <c r="D247" s="524"/>
      <c r="E247" s="524"/>
      <c r="F247" s="524"/>
      <c r="G247" s="524"/>
      <c r="H247" s="524"/>
      <c r="I247" s="524"/>
      <c r="J247" s="524"/>
      <c r="K247" s="524"/>
      <c r="L247" s="524"/>
      <c r="M247" s="524"/>
      <c r="N247" s="524"/>
    </row>
    <row r="248" spans="2:14" customFormat="1" ht="15" x14ac:dyDescent="0.25">
      <c r="B248" s="27"/>
      <c r="C248" s="27"/>
      <c r="D248" s="27"/>
      <c r="E248" s="27"/>
      <c r="F248" s="27"/>
      <c r="G248" s="27"/>
      <c r="H248" s="27"/>
      <c r="I248" s="457"/>
      <c r="J248" s="27"/>
      <c r="K248" s="27"/>
      <c r="L248" s="27"/>
      <c r="M248" s="27"/>
      <c r="N248" s="27"/>
    </row>
    <row r="249" spans="2:14" customFormat="1" ht="18" x14ac:dyDescent="0.25">
      <c r="B249" s="152" t="s">
        <v>192</v>
      </c>
      <c r="C249" s="27"/>
      <c r="D249" s="27"/>
      <c r="E249" s="27"/>
      <c r="F249" s="27"/>
      <c r="G249" s="27"/>
      <c r="H249" s="27"/>
      <c r="I249" s="457"/>
      <c r="J249" s="27"/>
      <c r="K249" s="27"/>
      <c r="L249" s="27"/>
      <c r="M249" s="27"/>
      <c r="N249" s="27"/>
    </row>
    <row r="251" spans="2:14" customFormat="1" ht="20.25" customHeight="1" thickBot="1" x14ac:dyDescent="0.3">
      <c r="B251" s="816" t="s">
        <v>129</v>
      </c>
      <c r="C251" s="816"/>
      <c r="D251" s="816"/>
      <c r="E251" s="816"/>
      <c r="F251" s="27"/>
      <c r="G251" s="148"/>
      <c r="H251" s="148"/>
      <c r="I251" s="148"/>
      <c r="J251" s="27"/>
      <c r="K251" s="175"/>
      <c r="L251" s="175"/>
      <c r="M251" s="175"/>
      <c r="N251" s="27"/>
    </row>
    <row r="252" spans="2:14" customFormat="1" ht="15.75" thickTop="1" x14ac:dyDescent="0.25">
      <c r="B252" s="817" t="s">
        <v>169</v>
      </c>
      <c r="C252" s="817"/>
      <c r="D252" s="817"/>
      <c r="E252" s="187">
        <f>E219+E192+E152+E131+E96+E70+E34+E6</f>
        <v>83341.87</v>
      </c>
      <c r="F252" s="148"/>
      <c r="G252" s="27"/>
      <c r="H252" s="148"/>
      <c r="I252" s="148"/>
      <c r="J252" s="27"/>
      <c r="K252" s="175"/>
      <c r="L252" s="175"/>
      <c r="M252" s="175"/>
      <c r="N252" s="27"/>
    </row>
    <row r="253" spans="2:14" customFormat="1" ht="15" x14ac:dyDescent="0.25">
      <c r="B253" s="815" t="s">
        <v>170</v>
      </c>
      <c r="C253" s="815"/>
      <c r="D253" s="815"/>
      <c r="E253" s="181">
        <f>E220+E193+E153+E97+E71+E35+E7</f>
        <v>196484.2</v>
      </c>
      <c r="F253" s="148"/>
      <c r="G253" s="27"/>
      <c r="H253" s="148"/>
      <c r="I253" s="148"/>
      <c r="J253" s="27"/>
      <c r="K253" s="175"/>
      <c r="L253" s="175"/>
      <c r="M253" s="175"/>
      <c r="N253" s="27"/>
    </row>
    <row r="254" spans="2:14" customFormat="1" ht="12.75" customHeight="1" x14ac:dyDescent="0.25">
      <c r="B254" s="815" t="s">
        <v>171</v>
      </c>
      <c r="C254" s="815"/>
      <c r="D254" s="815"/>
      <c r="E254" s="181">
        <f>E221+E194+E154+E132+E98+E72+E36+E8</f>
        <v>115489.65</v>
      </c>
      <c r="F254" s="148"/>
      <c r="G254" s="148"/>
      <c r="H254" s="148"/>
      <c r="I254" s="148"/>
      <c r="J254" s="27"/>
      <c r="K254" s="175"/>
      <c r="L254" s="175"/>
      <c r="M254" s="175"/>
      <c r="N254" s="27"/>
    </row>
    <row r="255" spans="2:14" customFormat="1" ht="12.75" customHeight="1" x14ac:dyDescent="0.25">
      <c r="B255" s="815" t="s">
        <v>133</v>
      </c>
      <c r="C255" s="815"/>
      <c r="D255" s="815"/>
      <c r="E255" s="181">
        <f>E222+E195+E155+E99+E73+E37+E9</f>
        <v>569798.35</v>
      </c>
      <c r="F255" s="148"/>
      <c r="G255" s="148"/>
      <c r="H255" s="148"/>
      <c r="I255" s="148"/>
      <c r="J255" s="27"/>
      <c r="K255" s="175"/>
      <c r="L255" s="175"/>
      <c r="M255" s="175"/>
      <c r="N255" s="27"/>
    </row>
    <row r="256" spans="2:14" customFormat="1" ht="12.75" customHeight="1" x14ac:dyDescent="0.25">
      <c r="B256" s="818" t="s">
        <v>52</v>
      </c>
      <c r="C256" s="818"/>
      <c r="D256" s="818"/>
      <c r="E256" s="155">
        <f>E223+E196+E156+E133+E100+E38</f>
        <v>4856.96</v>
      </c>
      <c r="F256" s="196"/>
      <c r="G256" s="27"/>
      <c r="H256" s="148"/>
      <c r="I256" s="148"/>
      <c r="J256" s="27"/>
      <c r="K256" s="175"/>
      <c r="L256" s="175"/>
      <c r="M256" s="175"/>
      <c r="N256" s="27"/>
    </row>
    <row r="257" spans="2:14" customFormat="1" ht="15" customHeight="1" x14ac:dyDescent="0.25">
      <c r="B257" s="818" t="s">
        <v>53</v>
      </c>
      <c r="C257" s="818"/>
      <c r="D257" s="818"/>
      <c r="E257" s="155">
        <f>E197+E157+E101+E39+E10</f>
        <v>1038.93</v>
      </c>
      <c r="F257" s="196"/>
      <c r="G257" s="27"/>
      <c r="H257" s="148"/>
      <c r="I257" s="148"/>
      <c r="J257" s="27"/>
      <c r="K257" s="175"/>
      <c r="L257" s="175"/>
      <c r="M257" s="175"/>
      <c r="N257" s="175"/>
    </row>
    <row r="258" spans="2:14" customFormat="1" ht="15" x14ac:dyDescent="0.25">
      <c r="B258" s="824" t="s">
        <v>173</v>
      </c>
      <c r="C258" s="791"/>
      <c r="D258" s="792"/>
      <c r="E258" s="155">
        <f>E224+E198+E158+E102+E74+E40+E11</f>
        <v>14537.16</v>
      </c>
      <c r="F258" s="196"/>
      <c r="G258" s="27"/>
      <c r="H258" s="148"/>
      <c r="I258" s="148"/>
      <c r="J258" s="27"/>
      <c r="K258" s="175"/>
      <c r="L258" s="175"/>
      <c r="M258" s="175"/>
      <c r="N258" s="175"/>
    </row>
    <row r="259" spans="2:14" customFormat="1" ht="12.75" customHeight="1" x14ac:dyDescent="0.25">
      <c r="B259" s="818" t="s">
        <v>174</v>
      </c>
      <c r="C259" s="818"/>
      <c r="D259" s="818"/>
      <c r="E259" s="155">
        <f>E75+E41+E12</f>
        <v>98853.73000000001</v>
      </c>
      <c r="F259" s="196"/>
      <c r="G259" s="27"/>
      <c r="H259" s="27"/>
      <c r="I259" s="457"/>
      <c r="J259" s="27"/>
      <c r="K259" s="27"/>
      <c r="L259" s="27"/>
      <c r="M259" s="175"/>
      <c r="N259" s="27"/>
    </row>
    <row r="260" spans="2:14" customFormat="1" ht="15" x14ac:dyDescent="0.25">
      <c r="B260" s="818">
        <v>340</v>
      </c>
      <c r="C260" s="818"/>
      <c r="D260" s="818"/>
      <c r="E260" s="159">
        <f>E103</f>
        <v>13925</v>
      </c>
      <c r="F260" s="196"/>
      <c r="G260" s="27"/>
      <c r="H260" s="27"/>
      <c r="I260" s="457"/>
      <c r="J260" s="27"/>
      <c r="K260" s="27"/>
      <c r="L260" s="27"/>
      <c r="M260" s="175"/>
      <c r="N260" s="27"/>
    </row>
    <row r="261" spans="2:14" customFormat="1" ht="15.75" thickBot="1" x14ac:dyDescent="0.3">
      <c r="B261" s="819" t="s">
        <v>193</v>
      </c>
      <c r="C261" s="819"/>
      <c r="D261" s="819"/>
      <c r="E261" s="163">
        <f>E225+E199+E104+E76+E43+E13</f>
        <v>56376.38</v>
      </c>
      <c r="F261" s="196"/>
      <c r="G261" s="27"/>
      <c r="H261" s="27"/>
      <c r="I261" s="457"/>
      <c r="J261" s="27"/>
      <c r="K261" s="27"/>
      <c r="L261" s="27"/>
      <c r="M261" s="175"/>
      <c r="N261" s="27"/>
    </row>
    <row r="262" spans="2:14" customFormat="1" ht="21.75" customHeight="1" thickTop="1" x14ac:dyDescent="0.25">
      <c r="B262" s="825" t="s">
        <v>125</v>
      </c>
      <c r="C262" s="825"/>
      <c r="D262" s="825"/>
      <c r="E262" s="197">
        <f>SUM(E252:E261)</f>
        <v>1154702.23</v>
      </c>
      <c r="F262" s="196"/>
      <c r="G262" s="148"/>
      <c r="H262" s="148"/>
      <c r="I262" s="148"/>
      <c r="J262" s="148"/>
      <c r="K262" s="148"/>
      <c r="L262" s="148"/>
      <c r="M262" s="148"/>
      <c r="N262" s="27"/>
    </row>
    <row r="263" spans="2:14" customFormat="1" ht="15" x14ac:dyDescent="0.25">
      <c r="B263" s="27"/>
      <c r="C263" s="27"/>
      <c r="D263" s="27"/>
      <c r="E263" s="27"/>
      <c r="F263" s="196"/>
      <c r="G263" s="27"/>
      <c r="H263" s="27"/>
      <c r="I263" s="457"/>
      <c r="J263" s="27"/>
      <c r="K263" s="27"/>
      <c r="L263" s="27"/>
      <c r="M263" s="27"/>
      <c r="N263" s="27"/>
    </row>
    <row r="264" spans="2:14" customFormat="1" ht="68.25" thickBot="1" x14ac:dyDescent="0.3">
      <c r="B264" s="750" t="s">
        <v>56</v>
      </c>
      <c r="C264" s="892" t="s">
        <v>548</v>
      </c>
      <c r="D264" s="892" t="s">
        <v>1033</v>
      </c>
      <c r="E264" s="892" t="s">
        <v>1034</v>
      </c>
      <c r="F264" s="892" t="s">
        <v>175</v>
      </c>
      <c r="G264" s="892" t="s">
        <v>176</v>
      </c>
      <c r="H264" s="892" t="s">
        <v>177</v>
      </c>
      <c r="I264" s="892" t="s">
        <v>547</v>
      </c>
      <c r="J264" s="166" t="s">
        <v>125</v>
      </c>
      <c r="K264" s="27"/>
      <c r="L264" s="27"/>
      <c r="M264" s="27"/>
      <c r="N264" s="27"/>
    </row>
    <row r="265" spans="2:14" customFormat="1" ht="15.75" thickTop="1" x14ac:dyDescent="0.25">
      <c r="B265" s="167" t="s">
        <v>62</v>
      </c>
      <c r="C265" s="168">
        <f>C229+C203+C163+C137+C108+C80+C47+C17</f>
        <v>0</v>
      </c>
      <c r="D265" s="168">
        <f>D229+D203+D163+D137+D108+D80+D47+D17</f>
        <v>2231466.34</v>
      </c>
      <c r="E265" s="168">
        <f>E229+E203+E163+E137+E108+E80+E47+E17</f>
        <v>3464103.25</v>
      </c>
      <c r="F265" s="168">
        <f>F229+F203+F163+F137+F108+F80+F47+F17</f>
        <v>273702.31</v>
      </c>
      <c r="G265" s="168">
        <f>G229+G203+G163+G137+G108+G80+G47+G17</f>
        <v>279901.76</v>
      </c>
      <c r="H265" s="168">
        <f>H229+H203+H163+H137+H108+H80+H47+H17</f>
        <v>779114.37</v>
      </c>
      <c r="I265" s="168">
        <f>I229+I203+I163+I137+I108+I80+I47+I17</f>
        <v>0</v>
      </c>
      <c r="J265" s="168">
        <f>C265+D265+E265+F265+G265+H265+I265</f>
        <v>7028288.0299999993</v>
      </c>
      <c r="K265" s="27"/>
      <c r="L265" s="27"/>
      <c r="M265" s="27"/>
      <c r="N265" s="27"/>
    </row>
    <row r="266" spans="2:14" customFormat="1" ht="15" x14ac:dyDescent="0.25">
      <c r="B266" s="169" t="s">
        <v>63</v>
      </c>
      <c r="C266" s="170">
        <f>C230+C204+C164+C138+C109+C81+C48+C18</f>
        <v>0</v>
      </c>
      <c r="D266" s="170">
        <f>D230+D204+D164+D138+D109+D81+D48+D18</f>
        <v>816239.64999999991</v>
      </c>
      <c r="E266" s="170">
        <f>E230+E204+E164+E138+E109+E81+E48+E18</f>
        <v>1228004.54</v>
      </c>
      <c r="F266" s="170">
        <f>F230+F204+F164+F138+F109+F81+F48+F18</f>
        <v>99121.53</v>
      </c>
      <c r="G266" s="170">
        <f>G230+G204+G164+G138+G109+G81+G48+G18</f>
        <v>98051.05</v>
      </c>
      <c r="H266" s="170">
        <f>H230+H204+H164+H138+H109+H81+H48+H18</f>
        <v>274052.87</v>
      </c>
      <c r="I266" s="170">
        <f>I230+I204+I164+I138+I109+I81+I48+I18</f>
        <v>0</v>
      </c>
      <c r="J266" s="170">
        <f t="shared" ref="J266:J278" si="27">C266+D266+E266+F266+G266+H266+I266</f>
        <v>2515469.6399999997</v>
      </c>
      <c r="K266" s="27"/>
      <c r="L266" s="27"/>
      <c r="M266" s="27"/>
      <c r="N266" s="27"/>
    </row>
    <row r="267" spans="2:14" customFormat="1" ht="15" x14ac:dyDescent="0.25">
      <c r="B267" s="169" t="s">
        <v>64</v>
      </c>
      <c r="C267" s="170">
        <f t="shared" ref="C267:I267" si="28">SUM(C268:C274)</f>
        <v>40000</v>
      </c>
      <c r="D267" s="170">
        <f t="shared" si="28"/>
        <v>446458.6</v>
      </c>
      <c r="E267" s="170">
        <f t="shared" si="28"/>
        <v>940905.79</v>
      </c>
      <c r="F267" s="170">
        <f t="shared" si="28"/>
        <v>444582.12999999995</v>
      </c>
      <c r="G267" s="170">
        <f t="shared" si="28"/>
        <v>741680.37000000011</v>
      </c>
      <c r="H267" s="170">
        <f t="shared" si="28"/>
        <v>98245.55</v>
      </c>
      <c r="I267" s="170">
        <f t="shared" si="28"/>
        <v>32697.7</v>
      </c>
      <c r="J267" s="170">
        <f t="shared" si="27"/>
        <v>2744570.14</v>
      </c>
      <c r="K267" s="27"/>
      <c r="L267" s="27"/>
      <c r="M267" s="27"/>
      <c r="N267" s="27"/>
    </row>
    <row r="268" spans="2:14" customFormat="1" ht="15" x14ac:dyDescent="0.25">
      <c r="B268" s="171" t="s">
        <v>81</v>
      </c>
      <c r="C268" s="9">
        <f>C232+C206+C111+C83+C50+C20</f>
        <v>0</v>
      </c>
      <c r="D268" s="9">
        <f>D232+D206+D111+D83+D50+D20</f>
        <v>1570.74</v>
      </c>
      <c r="E268" s="9">
        <f>E232+E206+E111+E83+E50+E20</f>
        <v>5528.2</v>
      </c>
      <c r="F268" s="9">
        <f>F232+F206+F111+F83+F50+F20</f>
        <v>0</v>
      </c>
      <c r="G268" s="9">
        <f>G232+G206+G111+G83+G50+G20</f>
        <v>0</v>
      </c>
      <c r="H268" s="9">
        <f>H232+H206+H111+H83+H50+H20</f>
        <v>0</v>
      </c>
      <c r="I268" s="9">
        <f>I232+I206+I111+I83+I50+I20</f>
        <v>0</v>
      </c>
      <c r="J268" s="9">
        <f t="shared" si="27"/>
        <v>7098.94</v>
      </c>
      <c r="K268" s="27"/>
      <c r="L268" s="27"/>
      <c r="M268" s="27"/>
      <c r="N268" s="27"/>
    </row>
    <row r="269" spans="2:14" customFormat="1" ht="15" x14ac:dyDescent="0.25">
      <c r="B269" s="171" t="s">
        <v>65</v>
      </c>
      <c r="C269" s="9">
        <f>C233+C207+C166+C140+C112+C84+C51+C21</f>
        <v>0</v>
      </c>
      <c r="D269" s="9">
        <f>D233+D207+D166+D140+D112+D84+D51+D21</f>
        <v>191262.27</v>
      </c>
      <c r="E269" s="9">
        <f>E233+E207+E166+E140+E112+E84+E51+E21</f>
        <v>351837.41000000003</v>
      </c>
      <c r="F269" s="9">
        <f>F233+F207+F166+F140+F112+F84+F51+F21</f>
        <v>48553.82</v>
      </c>
      <c r="G269" s="9">
        <f>G233+G207+G166+G140+G112+G84+G51+G21</f>
        <v>59216.14</v>
      </c>
      <c r="H269" s="9">
        <f>H233+H207+H166+H140+H112+H84+H51+H21</f>
        <v>44865</v>
      </c>
      <c r="I269" s="9">
        <f>I233+I207+I166+I140+I112+I84+I51+I21</f>
        <v>0</v>
      </c>
      <c r="J269" s="9">
        <f t="shared" si="27"/>
        <v>695734.64</v>
      </c>
      <c r="K269" s="27"/>
      <c r="L269" s="27"/>
      <c r="M269" s="27"/>
      <c r="N269" s="27"/>
    </row>
    <row r="270" spans="2:14" customFormat="1" ht="15" x14ac:dyDescent="0.25">
      <c r="B270" s="171" t="s">
        <v>66</v>
      </c>
      <c r="C270" s="9">
        <f>C234+C208+C167+C141+C113+C85+C52+C22</f>
        <v>0</v>
      </c>
      <c r="D270" s="9">
        <f>D234+D208+D167+D141+D113+D85+D52+D22</f>
        <v>73289.56</v>
      </c>
      <c r="E270" s="9">
        <f>E234+E208+E167+E141+E113+E85+E52+E22</f>
        <v>138133.94</v>
      </c>
      <c r="F270" s="9">
        <f>F234+F208+F167+F141+F113+F85+F52+F22</f>
        <v>292194.59999999998</v>
      </c>
      <c r="G270" s="9">
        <f>G234+G208+G167+G141+G113+G85+G52+G22</f>
        <v>394068.42000000004</v>
      </c>
      <c r="H270" s="9">
        <f>H234+H208+H167+H141+H113+H85+H52+H22</f>
        <v>23827.85</v>
      </c>
      <c r="I270" s="9">
        <f>I234+I208+I167+I141+I113+I85+I52+I22</f>
        <v>32697.7</v>
      </c>
      <c r="J270" s="9">
        <f t="shared" si="27"/>
        <v>954212.07</v>
      </c>
      <c r="K270" s="27"/>
      <c r="L270" s="27"/>
      <c r="M270" s="27"/>
      <c r="N270" s="27"/>
    </row>
    <row r="271" spans="2:14" customFormat="1" ht="15" x14ac:dyDescent="0.25">
      <c r="B271" s="171" t="s">
        <v>67</v>
      </c>
      <c r="C271" s="9">
        <f>C235+C209+C168+C114+C53+C23</f>
        <v>0</v>
      </c>
      <c r="D271" s="9">
        <f>D235+D209+D168+D114+D53+D23</f>
        <v>2621.7</v>
      </c>
      <c r="E271" s="9">
        <f>E235+E209+E168+E114+E53+E23</f>
        <v>4166.82</v>
      </c>
      <c r="F271" s="9">
        <f>F235+F209+F168+F114+F53+F23</f>
        <v>0</v>
      </c>
      <c r="G271" s="9">
        <f>G235+G209+G168+G114+G53+G23</f>
        <v>0</v>
      </c>
      <c r="H271" s="9">
        <f>H235+H209+H168+H114+H53+H23</f>
        <v>0</v>
      </c>
      <c r="I271" s="9">
        <f>I235+I209+I168+I114+I53+I23</f>
        <v>0</v>
      </c>
      <c r="J271" s="9">
        <f t="shared" si="27"/>
        <v>6788.5199999999995</v>
      </c>
      <c r="K271" s="27"/>
      <c r="L271" s="27"/>
      <c r="M271" s="27"/>
      <c r="N271" s="27"/>
    </row>
    <row r="272" spans="2:14" customFormat="1" ht="15" x14ac:dyDescent="0.25">
      <c r="B272" s="171" t="s">
        <v>68</v>
      </c>
      <c r="C272" s="9">
        <f>C236+C210+C169+C142+C115+C86+C54+C24</f>
        <v>0</v>
      </c>
      <c r="D272" s="9">
        <f>D236+D210+D169+D142+D115+D86+D54+D24</f>
        <v>29320.7</v>
      </c>
      <c r="E272" s="9">
        <f>E236+E210+E169+E142+E115+E86+E54+E24</f>
        <v>142825.99</v>
      </c>
      <c r="F272" s="9">
        <f>F236+F210+F169+F142+F115+F86+F54+F24</f>
        <v>9391.630000000001</v>
      </c>
      <c r="G272" s="9">
        <f>G236+G210+G169+G142+G115+G86+G54+G24</f>
        <v>14701.130000000001</v>
      </c>
      <c r="H272" s="9">
        <f>H236+H210+H169+H142+H115+H86+H54+H24</f>
        <v>7144.92</v>
      </c>
      <c r="I272" s="9">
        <f>I236+I210+I169+I142+I115+I86+I54+I24</f>
        <v>0</v>
      </c>
      <c r="J272" s="9">
        <f t="shared" si="27"/>
        <v>203384.37000000002</v>
      </c>
      <c r="K272" s="27"/>
      <c r="L272" s="27"/>
      <c r="M272" s="27"/>
      <c r="N272" s="27"/>
    </row>
    <row r="273" spans="2:14" customFormat="1" ht="15" x14ac:dyDescent="0.25">
      <c r="B273" s="171" t="s">
        <v>185</v>
      </c>
      <c r="C273" s="9">
        <f>C237+C170+C143+C87+C55+C25</f>
        <v>40000</v>
      </c>
      <c r="D273" s="9">
        <f>D237+D170+D143+D87+D55+D25</f>
        <v>5466.32</v>
      </c>
      <c r="E273" s="9">
        <f>E237+E170+E143+E87+E55+E25</f>
        <v>6769.01</v>
      </c>
      <c r="F273" s="9">
        <f>F237+F170+F143+F87+F55+F25</f>
        <v>62645.98</v>
      </c>
      <c r="G273" s="9">
        <f>G237+G170+G143+G87+G55+G25</f>
        <v>195.98</v>
      </c>
      <c r="H273" s="9">
        <f>H237+H170+H143+H87+H55+H25</f>
        <v>0</v>
      </c>
      <c r="I273" s="9">
        <f>I237+I170+I143+I87+I55+I25</f>
        <v>0</v>
      </c>
      <c r="J273" s="9">
        <f t="shared" si="27"/>
        <v>115077.29</v>
      </c>
      <c r="K273" s="27"/>
      <c r="L273" s="27"/>
      <c r="M273" s="27"/>
      <c r="N273" s="27"/>
    </row>
    <row r="274" spans="2:14" customFormat="1" ht="15" x14ac:dyDescent="0.25">
      <c r="B274" s="171" t="s">
        <v>70</v>
      </c>
      <c r="C274" s="9">
        <f>C238+C211+C171+C144+C116+C88+C56+C26</f>
        <v>0</v>
      </c>
      <c r="D274" s="9">
        <f>D238+D211+D171+D144+D116+D88+D56+D26</f>
        <v>142927.31</v>
      </c>
      <c r="E274" s="9">
        <f>E238+E211+E171+E144+E116+E88+E56+E26</f>
        <v>291644.42</v>
      </c>
      <c r="F274" s="9">
        <f>F238+F211+F171+F144+F116+F88+F56+F26</f>
        <v>31796.1</v>
      </c>
      <c r="G274" s="9">
        <f>G238+G211+G171+G144+G116+G88+G56+G26</f>
        <v>273498.7</v>
      </c>
      <c r="H274" s="9">
        <f>H238+H211+H171+H144+H116+H88+H56+H26</f>
        <v>22407.78</v>
      </c>
      <c r="I274" s="9">
        <f>I238+I211+I171+I144+I116+I88+I56+I26</f>
        <v>0</v>
      </c>
      <c r="J274" s="9">
        <f t="shared" si="27"/>
        <v>762274.31</v>
      </c>
      <c r="K274" s="27"/>
      <c r="L274" s="27"/>
      <c r="M274" s="27"/>
      <c r="N274" s="27"/>
    </row>
    <row r="275" spans="2:14" customFormat="1" ht="15" x14ac:dyDescent="0.25">
      <c r="B275" s="169" t="s">
        <v>71</v>
      </c>
      <c r="C275" s="170">
        <f>C239+C212+C172+C145+C117+C89+C57+C27</f>
        <v>0</v>
      </c>
      <c r="D275" s="170">
        <f>D239+D212+D172+D145+D117+D89+D57+D27</f>
        <v>24157.190000000002</v>
      </c>
      <c r="E275" s="170">
        <f>E239+E212+E172+E145+E117+E89+E57+E27</f>
        <v>34818.519999999997</v>
      </c>
      <c r="F275" s="170">
        <f>F239+F212+F172+F145+F117+F89+F57+F27</f>
        <v>2395.63</v>
      </c>
      <c r="G275" s="170">
        <f>G239+G212+G172+G145+G117+G89+G57+G27</f>
        <v>6017.01</v>
      </c>
      <c r="H275" s="170">
        <f>H239+H212+H172+H145+H117+H89+H57+H27</f>
        <v>7131.0299999999988</v>
      </c>
      <c r="I275" s="170">
        <f>I239+I212+I172+I145+I117+I89+I57+I27</f>
        <v>182.6</v>
      </c>
      <c r="J275" s="170">
        <f t="shared" si="27"/>
        <v>74701.98</v>
      </c>
      <c r="K275" s="27"/>
      <c r="L275" s="27"/>
      <c r="M275" s="27"/>
      <c r="N275" s="27"/>
    </row>
    <row r="276" spans="2:14" s="127" customFormat="1" ht="25.5" x14ac:dyDescent="0.2">
      <c r="B276" s="169" t="s">
        <v>194</v>
      </c>
      <c r="C276" s="170">
        <f>C240+C213+C173+C146+C118+C90+C58+C28</f>
        <v>0</v>
      </c>
      <c r="D276" s="170">
        <f>D240+D213+D173+D146+D118+D90+D58+D28</f>
        <v>0</v>
      </c>
      <c r="E276" s="170">
        <f>E240+E213+E173+E146+E118+E90+E58+E28</f>
        <v>0</v>
      </c>
      <c r="F276" s="170">
        <f>F240+F213+F173+F146+F118+F90+F58+F28</f>
        <v>6000</v>
      </c>
      <c r="G276" s="170">
        <f>G240+G213+G173+G146+G118+G90+G58+G28</f>
        <v>53544.43</v>
      </c>
      <c r="H276" s="170">
        <f>H240+H213+H173+H146+H118+H90+H58+H28</f>
        <v>20992</v>
      </c>
      <c r="I276" s="170">
        <f>I240+I213+I173+I146+I118+I90+I58+I28</f>
        <v>0</v>
      </c>
      <c r="J276" s="170">
        <f t="shared" si="27"/>
        <v>80536.429999999993</v>
      </c>
    </row>
    <row r="277" spans="2:14" customFormat="1" ht="15.75" thickBot="1" x14ac:dyDescent="0.3">
      <c r="B277" s="172" t="s">
        <v>181</v>
      </c>
      <c r="C277" s="195">
        <f>C241+C119+C59</f>
        <v>0</v>
      </c>
      <c r="D277" s="195">
        <f>D241+D119+D59</f>
        <v>0</v>
      </c>
      <c r="E277" s="195">
        <f>E241+E119+E59</f>
        <v>9259.4</v>
      </c>
      <c r="F277" s="195">
        <f>F241+F119+F59</f>
        <v>0</v>
      </c>
      <c r="G277" s="195">
        <f>G241+G119+G59</f>
        <v>0</v>
      </c>
      <c r="H277" s="195">
        <f>H241+H119+H59</f>
        <v>0</v>
      </c>
      <c r="I277" s="195">
        <f>I241+I119+I59</f>
        <v>0</v>
      </c>
      <c r="J277" s="195">
        <f t="shared" si="27"/>
        <v>9259.4</v>
      </c>
      <c r="K277" s="27"/>
      <c r="L277" s="27"/>
      <c r="M277" s="27"/>
      <c r="N277" s="27"/>
    </row>
    <row r="278" spans="2:14" customFormat="1" ht="21" customHeight="1" thickTop="1" x14ac:dyDescent="0.25">
      <c r="B278" s="174" t="s">
        <v>125</v>
      </c>
      <c r="C278" s="164">
        <f>C265+C266+C267+C275+C277+C276</f>
        <v>40000</v>
      </c>
      <c r="D278" s="164">
        <f t="shared" ref="D278:I278" si="29">D265+D266+D267+D275+D277+D276</f>
        <v>3518321.78</v>
      </c>
      <c r="E278" s="164">
        <f t="shared" si="29"/>
        <v>5677091.5</v>
      </c>
      <c r="F278" s="164">
        <f t="shared" si="29"/>
        <v>825801.6</v>
      </c>
      <c r="G278" s="164">
        <f t="shared" si="29"/>
        <v>1179194.6200000001</v>
      </c>
      <c r="H278" s="164">
        <f t="shared" si="29"/>
        <v>1179535.82</v>
      </c>
      <c r="I278" s="164">
        <f t="shared" si="29"/>
        <v>32880.300000000003</v>
      </c>
      <c r="J278" s="164">
        <f t="shared" si="27"/>
        <v>12452825.620000001</v>
      </c>
      <c r="K278" s="27"/>
      <c r="L278" s="148"/>
      <c r="M278" s="148"/>
      <c r="N278" s="27"/>
    </row>
    <row r="279" spans="2:14" customFormat="1" ht="15" x14ac:dyDescent="0.25">
      <c r="B279" s="27"/>
      <c r="C279" s="148"/>
      <c r="D279" s="148"/>
      <c r="E279" s="27"/>
      <c r="F279" s="27"/>
      <c r="G279" s="148"/>
      <c r="H279" s="148"/>
      <c r="I279" s="148"/>
      <c r="J279" s="27"/>
      <c r="K279" s="27"/>
      <c r="L279" s="27"/>
      <c r="M279" s="27"/>
      <c r="N279" s="27"/>
    </row>
    <row r="280" spans="2:14" customFormat="1" ht="15" x14ac:dyDescent="0.25">
      <c r="B280" s="27"/>
      <c r="C280" s="27"/>
      <c r="D280" s="27"/>
      <c r="E280" s="27"/>
      <c r="F280" s="27"/>
      <c r="G280" s="27"/>
      <c r="H280" s="27"/>
      <c r="I280" s="457"/>
      <c r="J280" s="27"/>
      <c r="K280" s="27"/>
      <c r="L280" s="27"/>
      <c r="M280" s="27"/>
      <c r="N280" s="27"/>
    </row>
    <row r="281" spans="2:14" s="751" customFormat="1" ht="15" x14ac:dyDescent="0.25">
      <c r="B281" s="524"/>
      <c r="C281" s="524"/>
      <c r="D281" s="524"/>
      <c r="E281" s="524"/>
      <c r="F281" s="524"/>
      <c r="G281" s="524"/>
      <c r="H281" s="524"/>
      <c r="I281" s="524"/>
      <c r="J281" s="524"/>
      <c r="K281" s="524"/>
      <c r="L281" s="524"/>
      <c r="M281" s="524"/>
      <c r="N281" s="524"/>
    </row>
    <row r="282" spans="2:14" s="751" customFormat="1" ht="15" x14ac:dyDescent="0.25">
      <c r="B282" s="524"/>
      <c r="C282" s="524"/>
      <c r="D282" s="524"/>
      <c r="E282" s="524"/>
      <c r="F282" s="524"/>
      <c r="G282" s="524"/>
      <c r="H282" s="524"/>
      <c r="I282" s="524"/>
      <c r="J282" s="524"/>
      <c r="K282" s="524"/>
      <c r="L282" s="524"/>
      <c r="M282" s="524"/>
      <c r="N282" s="524"/>
    </row>
    <row r="283" spans="2:14" s="751" customFormat="1" ht="15" x14ac:dyDescent="0.25">
      <c r="B283" s="524"/>
      <c r="C283" s="524"/>
      <c r="D283" s="524"/>
      <c r="E283" s="524"/>
      <c r="F283" s="524"/>
      <c r="G283" s="524"/>
      <c r="H283" s="524"/>
      <c r="I283" s="524"/>
      <c r="J283" s="524"/>
      <c r="K283" s="524"/>
      <c r="L283" s="524"/>
      <c r="M283" s="524"/>
      <c r="N283" s="524"/>
    </row>
    <row r="284" spans="2:14" s="751" customFormat="1" ht="15" x14ac:dyDescent="0.25">
      <c r="B284" s="524"/>
      <c r="C284" s="524"/>
      <c r="D284" s="524"/>
      <c r="E284" s="524"/>
      <c r="F284" s="524"/>
      <c r="G284" s="524"/>
      <c r="H284" s="524"/>
      <c r="I284" s="524"/>
      <c r="J284" s="524"/>
      <c r="K284" s="524"/>
      <c r="L284" s="524"/>
      <c r="M284" s="524"/>
      <c r="N284" s="524"/>
    </row>
    <row r="285" spans="2:14" s="751" customFormat="1" ht="15" x14ac:dyDescent="0.25">
      <c r="B285" s="524"/>
      <c r="C285" s="524"/>
      <c r="D285" s="524"/>
      <c r="E285" s="524"/>
      <c r="F285" s="524"/>
      <c r="G285" s="524"/>
      <c r="H285" s="524"/>
      <c r="I285" s="524"/>
      <c r="J285" s="524"/>
      <c r="K285" s="524"/>
      <c r="L285" s="524"/>
      <c r="M285" s="524"/>
      <c r="N285" s="524"/>
    </row>
    <row r="286" spans="2:14" s="751" customFormat="1" ht="15" x14ac:dyDescent="0.25">
      <c r="B286" s="524"/>
      <c r="C286" s="524"/>
      <c r="D286" s="524"/>
      <c r="E286" s="524"/>
      <c r="F286" s="524"/>
      <c r="G286" s="524"/>
      <c r="H286" s="524"/>
      <c r="I286" s="524"/>
      <c r="J286" s="524"/>
      <c r="K286" s="524"/>
      <c r="L286" s="524"/>
      <c r="M286" s="524"/>
      <c r="N286" s="524"/>
    </row>
    <row r="287" spans="2:14" s="751" customFormat="1" ht="15" x14ac:dyDescent="0.25">
      <c r="B287" s="524"/>
      <c r="C287" s="524"/>
      <c r="D287" s="524"/>
      <c r="E287" s="524"/>
      <c r="F287" s="524"/>
      <c r="G287" s="524"/>
      <c r="H287" s="524"/>
      <c r="I287" s="524"/>
      <c r="J287" s="524"/>
      <c r="K287" s="524"/>
      <c r="L287" s="524"/>
      <c r="M287" s="524"/>
      <c r="N287" s="524"/>
    </row>
    <row r="288" spans="2:14" s="751" customFormat="1" ht="15" x14ac:dyDescent="0.25">
      <c r="B288" s="524"/>
      <c r="C288" s="524"/>
      <c r="D288" s="524"/>
      <c r="E288" s="524"/>
      <c r="F288" s="524"/>
      <c r="G288" s="524"/>
      <c r="H288" s="524"/>
      <c r="I288" s="524"/>
      <c r="J288" s="524"/>
      <c r="K288" s="524"/>
      <c r="L288" s="524"/>
      <c r="M288" s="524"/>
      <c r="N288" s="524"/>
    </row>
    <row r="289" spans="2:14" s="751" customFormat="1" ht="15" x14ac:dyDescent="0.25">
      <c r="B289" s="524"/>
      <c r="C289" s="524"/>
      <c r="D289" s="524"/>
      <c r="E289" s="524"/>
      <c r="F289" s="524"/>
      <c r="G289" s="524"/>
      <c r="H289" s="524"/>
      <c r="I289" s="524"/>
      <c r="J289" s="524"/>
      <c r="K289" s="524"/>
      <c r="L289" s="524"/>
      <c r="M289" s="524"/>
      <c r="N289" s="524"/>
    </row>
    <row r="290" spans="2:14" s="751" customFormat="1" ht="15" x14ac:dyDescent="0.25">
      <c r="B290" s="524"/>
      <c r="C290" s="524"/>
      <c r="D290" s="524"/>
      <c r="E290" s="524"/>
      <c r="F290" s="524"/>
      <c r="G290" s="524"/>
      <c r="H290" s="524"/>
      <c r="I290" s="524"/>
      <c r="J290" s="524"/>
      <c r="K290" s="524"/>
      <c r="L290" s="524"/>
      <c r="M290" s="524"/>
      <c r="N290" s="524"/>
    </row>
    <row r="291" spans="2:14" s="751" customFormat="1" ht="15" x14ac:dyDescent="0.25">
      <c r="B291" s="524"/>
      <c r="C291" s="524"/>
      <c r="D291" s="524"/>
      <c r="E291" s="524"/>
      <c r="F291" s="524"/>
      <c r="G291" s="524"/>
      <c r="H291" s="524"/>
      <c r="I291" s="524"/>
      <c r="J291" s="524"/>
      <c r="K291" s="524"/>
      <c r="L291" s="524"/>
      <c r="M291" s="524"/>
      <c r="N291" s="524"/>
    </row>
    <row r="292" spans="2:14" s="751" customFormat="1" ht="15" x14ac:dyDescent="0.25">
      <c r="B292" s="524"/>
      <c r="C292" s="524"/>
      <c r="D292" s="524"/>
      <c r="E292" s="524"/>
      <c r="F292" s="524"/>
      <c r="G292" s="524"/>
      <c r="H292" s="524"/>
      <c r="I292" s="524"/>
      <c r="J292" s="524"/>
      <c r="K292" s="524"/>
      <c r="L292" s="524"/>
      <c r="M292" s="524"/>
      <c r="N292" s="524"/>
    </row>
    <row r="293" spans="2:14" s="751" customFormat="1" ht="15" x14ac:dyDescent="0.25">
      <c r="B293" s="524"/>
      <c r="C293" s="524"/>
      <c r="D293" s="524"/>
      <c r="E293" s="524"/>
      <c r="F293" s="524"/>
      <c r="G293" s="524"/>
      <c r="H293" s="524"/>
      <c r="I293" s="524"/>
      <c r="J293" s="524"/>
      <c r="K293" s="524"/>
      <c r="L293" s="524"/>
      <c r="M293" s="524"/>
      <c r="N293" s="524"/>
    </row>
    <row r="294" spans="2:14" s="751" customFormat="1" ht="15" x14ac:dyDescent="0.25">
      <c r="B294" s="524"/>
      <c r="C294" s="524"/>
      <c r="D294" s="524"/>
      <c r="E294" s="524"/>
      <c r="F294" s="524"/>
      <c r="G294" s="524"/>
      <c r="H294" s="524"/>
      <c r="I294" s="524"/>
      <c r="J294" s="524"/>
      <c r="K294" s="524"/>
      <c r="L294" s="524"/>
      <c r="M294" s="524"/>
      <c r="N294" s="524"/>
    </row>
    <row r="295" spans="2:14" s="751" customFormat="1" ht="15" x14ac:dyDescent="0.25">
      <c r="B295" s="524"/>
      <c r="C295" s="524"/>
      <c r="D295" s="524"/>
      <c r="E295" s="524"/>
      <c r="F295" s="524"/>
      <c r="G295" s="524"/>
      <c r="H295" s="524"/>
      <c r="I295" s="524"/>
      <c r="J295" s="524"/>
      <c r="K295" s="524"/>
      <c r="L295" s="524"/>
      <c r="M295" s="524"/>
      <c r="N295" s="524"/>
    </row>
    <row r="296" spans="2:14" s="751" customFormat="1" ht="15" x14ac:dyDescent="0.25">
      <c r="B296" s="524"/>
      <c r="C296" s="524"/>
      <c r="D296" s="524"/>
      <c r="E296" s="524"/>
      <c r="F296" s="524"/>
      <c r="G296" s="524"/>
      <c r="H296" s="524"/>
      <c r="I296" s="524"/>
      <c r="J296" s="524"/>
      <c r="K296" s="524"/>
      <c r="L296" s="524"/>
      <c r="M296" s="524"/>
      <c r="N296" s="524"/>
    </row>
    <row r="297" spans="2:14" s="751" customFormat="1" ht="15" x14ac:dyDescent="0.25">
      <c r="B297" s="524"/>
      <c r="C297" s="524"/>
      <c r="D297" s="524"/>
      <c r="E297" s="524"/>
      <c r="F297" s="524"/>
      <c r="G297" s="524"/>
      <c r="H297" s="524"/>
      <c r="I297" s="524"/>
      <c r="J297" s="524"/>
      <c r="K297" s="524"/>
      <c r="L297" s="524"/>
      <c r="M297" s="524"/>
      <c r="N297" s="524"/>
    </row>
    <row r="298" spans="2:14" s="751" customFormat="1" ht="15" x14ac:dyDescent="0.25">
      <c r="B298" s="524"/>
      <c r="C298" s="524"/>
      <c r="D298" s="524"/>
      <c r="E298" s="524"/>
      <c r="F298" s="524"/>
      <c r="G298" s="524"/>
      <c r="H298" s="524"/>
      <c r="I298" s="524"/>
      <c r="J298" s="524"/>
      <c r="K298" s="524"/>
      <c r="L298" s="524"/>
      <c r="M298" s="524"/>
      <c r="N298" s="524"/>
    </row>
    <row r="299" spans="2:14" s="751" customFormat="1" ht="15" x14ac:dyDescent="0.25">
      <c r="B299" s="524"/>
      <c r="C299" s="524"/>
      <c r="D299" s="524"/>
      <c r="E299" s="524"/>
      <c r="F299" s="524"/>
      <c r="G299" s="524"/>
      <c r="H299" s="524"/>
      <c r="I299" s="524"/>
      <c r="J299" s="524"/>
      <c r="K299" s="524"/>
      <c r="L299" s="524"/>
      <c r="M299" s="524"/>
      <c r="N299" s="524"/>
    </row>
    <row r="300" spans="2:14" s="751" customFormat="1" ht="15" x14ac:dyDescent="0.25">
      <c r="B300" s="524"/>
      <c r="C300" s="524"/>
      <c r="D300" s="524"/>
      <c r="E300" s="524"/>
      <c r="F300" s="524"/>
      <c r="G300" s="524"/>
      <c r="H300" s="524"/>
      <c r="I300" s="524"/>
      <c r="J300" s="524"/>
      <c r="K300" s="524"/>
      <c r="L300" s="524"/>
      <c r="M300" s="524"/>
      <c r="N300" s="524"/>
    </row>
    <row r="301" spans="2:14" s="751" customFormat="1" ht="15" x14ac:dyDescent="0.25">
      <c r="B301" s="524"/>
      <c r="C301" s="524"/>
      <c r="D301" s="524"/>
      <c r="E301" s="524"/>
      <c r="F301" s="524"/>
      <c r="G301" s="524"/>
      <c r="H301" s="524"/>
      <c r="I301" s="524"/>
      <c r="J301" s="524"/>
      <c r="K301" s="524"/>
      <c r="L301" s="524"/>
      <c r="M301" s="524"/>
      <c r="N301" s="524"/>
    </row>
    <row r="302" spans="2:14" s="751" customFormat="1" ht="15" x14ac:dyDescent="0.25">
      <c r="B302" s="524"/>
      <c r="C302" s="524"/>
      <c r="D302" s="524"/>
      <c r="E302" s="524"/>
      <c r="F302" s="524"/>
      <c r="G302" s="524"/>
      <c r="H302" s="524"/>
      <c r="I302" s="524"/>
      <c r="J302" s="524"/>
      <c r="K302" s="524"/>
      <c r="L302" s="524"/>
      <c r="M302" s="524"/>
      <c r="N302" s="524"/>
    </row>
    <row r="303" spans="2:14" s="751" customFormat="1" ht="15" x14ac:dyDescent="0.25">
      <c r="B303" s="524"/>
      <c r="C303" s="524"/>
      <c r="D303" s="524"/>
      <c r="E303" s="524"/>
      <c r="F303" s="524"/>
      <c r="G303" s="524"/>
      <c r="H303" s="524"/>
      <c r="I303" s="524"/>
      <c r="J303" s="524"/>
      <c r="K303" s="524"/>
      <c r="L303" s="524"/>
      <c r="M303" s="524"/>
      <c r="N303" s="524"/>
    </row>
    <row r="304" spans="2:14" s="751" customFormat="1" ht="15" x14ac:dyDescent="0.25">
      <c r="B304" s="524"/>
      <c r="C304" s="524"/>
      <c r="D304" s="524"/>
      <c r="E304" s="524"/>
      <c r="F304" s="524"/>
      <c r="G304" s="524"/>
      <c r="H304" s="524"/>
      <c r="I304" s="524"/>
      <c r="J304" s="524"/>
      <c r="K304" s="524"/>
      <c r="L304" s="524"/>
      <c r="M304" s="524"/>
      <c r="N304" s="524"/>
    </row>
    <row r="305" spans="2:14" s="751" customFormat="1" ht="15" x14ac:dyDescent="0.25">
      <c r="B305" s="524"/>
      <c r="C305" s="524"/>
      <c r="D305" s="524"/>
      <c r="E305" s="524"/>
      <c r="F305" s="524"/>
      <c r="G305" s="524"/>
      <c r="H305" s="524"/>
      <c r="I305" s="524"/>
      <c r="J305" s="524"/>
      <c r="K305" s="524"/>
      <c r="L305" s="524"/>
      <c r="M305" s="524"/>
      <c r="N305" s="524"/>
    </row>
    <row r="306" spans="2:14" s="751" customFormat="1" ht="15" x14ac:dyDescent="0.25">
      <c r="B306" s="524"/>
      <c r="C306" s="524"/>
      <c r="D306" s="524"/>
      <c r="E306" s="524"/>
      <c r="F306" s="524"/>
      <c r="G306" s="524"/>
      <c r="H306" s="524"/>
      <c r="I306" s="524"/>
      <c r="J306" s="524"/>
      <c r="K306" s="524"/>
      <c r="L306" s="524"/>
      <c r="M306" s="524"/>
      <c r="N306" s="524"/>
    </row>
    <row r="307" spans="2:14" s="751" customFormat="1" ht="15" x14ac:dyDescent="0.25">
      <c r="B307" s="524"/>
      <c r="C307" s="524"/>
      <c r="D307" s="524"/>
      <c r="E307" s="524"/>
      <c r="F307" s="524"/>
      <c r="G307" s="524"/>
      <c r="H307" s="524"/>
      <c r="I307" s="524"/>
      <c r="J307" s="524"/>
      <c r="K307" s="524"/>
      <c r="L307" s="524"/>
      <c r="M307" s="524"/>
      <c r="N307" s="524"/>
    </row>
    <row r="308" spans="2:14" s="751" customFormat="1" ht="15" x14ac:dyDescent="0.25">
      <c r="B308" s="524"/>
      <c r="C308" s="524"/>
      <c r="D308" s="524"/>
      <c r="E308" s="524"/>
      <c r="F308" s="524"/>
      <c r="G308" s="524"/>
      <c r="H308" s="524"/>
      <c r="I308" s="524"/>
      <c r="J308" s="524"/>
      <c r="K308" s="524"/>
      <c r="L308" s="524"/>
      <c r="M308" s="524"/>
      <c r="N308" s="524"/>
    </row>
    <row r="309" spans="2:14" s="751" customFormat="1" ht="15" x14ac:dyDescent="0.25">
      <c r="B309" s="524"/>
      <c r="C309" s="524"/>
      <c r="D309" s="524"/>
      <c r="E309" s="524"/>
      <c r="F309" s="524"/>
      <c r="G309" s="524"/>
      <c r="H309" s="524"/>
      <c r="I309" s="524"/>
      <c r="J309" s="524"/>
      <c r="K309" s="524"/>
      <c r="L309" s="524"/>
      <c r="M309" s="524"/>
      <c r="N309" s="524"/>
    </row>
    <row r="310" spans="2:14" s="751" customFormat="1" ht="15" x14ac:dyDescent="0.25">
      <c r="B310" s="524"/>
      <c r="C310" s="524"/>
      <c r="D310" s="524"/>
      <c r="E310" s="524"/>
      <c r="F310" s="524"/>
      <c r="G310" s="524"/>
      <c r="H310" s="524"/>
      <c r="I310" s="524"/>
      <c r="J310" s="524"/>
      <c r="K310" s="524"/>
      <c r="L310" s="524"/>
      <c r="M310" s="524"/>
      <c r="N310" s="524"/>
    </row>
    <row r="311" spans="2:14" s="751" customFormat="1" ht="15" x14ac:dyDescent="0.25">
      <c r="B311" s="524"/>
      <c r="C311" s="524"/>
      <c r="D311" s="524"/>
      <c r="E311" s="524"/>
      <c r="F311" s="524"/>
      <c r="G311" s="524"/>
      <c r="H311" s="524"/>
      <c r="I311" s="524"/>
      <c r="J311" s="524"/>
      <c r="K311" s="524"/>
      <c r="L311" s="524"/>
      <c r="M311" s="524"/>
      <c r="N311" s="524"/>
    </row>
    <row r="312" spans="2:14" s="751" customFormat="1" ht="15" x14ac:dyDescent="0.25">
      <c r="B312" s="524"/>
      <c r="C312" s="524"/>
      <c r="D312" s="524"/>
      <c r="E312" s="524"/>
      <c r="F312" s="524"/>
      <c r="G312" s="524"/>
      <c r="H312" s="524"/>
      <c r="I312" s="524"/>
      <c r="J312" s="524"/>
      <c r="K312" s="524"/>
      <c r="L312" s="524"/>
      <c r="M312" s="524"/>
      <c r="N312" s="524"/>
    </row>
    <row r="313" spans="2:14" customFormat="1" ht="18" x14ac:dyDescent="0.25">
      <c r="B313" s="152" t="s">
        <v>1016</v>
      </c>
      <c r="C313" s="27"/>
      <c r="D313" s="27"/>
      <c r="E313" s="27"/>
      <c r="F313" s="27"/>
      <c r="G313" s="27"/>
      <c r="H313" s="27"/>
      <c r="I313" s="457"/>
      <c r="J313" s="27"/>
      <c r="K313" s="27"/>
      <c r="L313" s="27"/>
      <c r="M313" s="27"/>
      <c r="N313" s="27"/>
    </row>
    <row r="315" spans="2:14" customFormat="1" ht="21.75" customHeight="1" thickBot="1" x14ac:dyDescent="0.3">
      <c r="B315" s="816" t="s">
        <v>129</v>
      </c>
      <c r="C315" s="816"/>
      <c r="D315" s="816"/>
      <c r="E315" s="816"/>
      <c r="F315" s="27"/>
      <c r="G315" s="27"/>
      <c r="H315" s="27"/>
      <c r="I315" s="457"/>
      <c r="J315" s="27"/>
      <c r="K315" s="27"/>
      <c r="L315" s="27"/>
      <c r="M315" s="27"/>
      <c r="N315" s="27"/>
    </row>
    <row r="316" spans="2:14" customFormat="1" ht="15.75" thickTop="1" x14ac:dyDescent="0.25">
      <c r="B316" s="822" t="s">
        <v>196</v>
      </c>
      <c r="C316" s="822"/>
      <c r="D316" s="822"/>
      <c r="E316" s="9">
        <v>8317.7999999999993</v>
      </c>
      <c r="F316" s="27"/>
      <c r="G316" s="27"/>
      <c r="H316" s="27"/>
      <c r="I316" s="457"/>
      <c r="J316" s="27"/>
      <c r="K316" s="27"/>
      <c r="L316" s="27"/>
      <c r="M316" s="27"/>
      <c r="N316" s="27"/>
    </row>
    <row r="317" spans="2:14" s="642" customFormat="1" ht="15" x14ac:dyDescent="0.25">
      <c r="B317" s="818" t="s">
        <v>53</v>
      </c>
      <c r="C317" s="818"/>
      <c r="D317" s="818"/>
      <c r="E317" s="9">
        <v>214.37</v>
      </c>
      <c r="F317" s="524"/>
      <c r="G317" s="524"/>
      <c r="H317" s="524"/>
      <c r="I317" s="524"/>
      <c r="J317" s="524"/>
      <c r="K317" s="524"/>
      <c r="L317" s="524"/>
      <c r="M317" s="524"/>
      <c r="N317" s="524"/>
    </row>
    <row r="318" spans="2:14" s="642" customFormat="1" ht="15" x14ac:dyDescent="0.25">
      <c r="B318" s="824" t="s">
        <v>173</v>
      </c>
      <c r="C318" s="791"/>
      <c r="D318" s="792"/>
      <c r="E318" s="9">
        <v>450</v>
      </c>
      <c r="F318" s="524"/>
      <c r="G318" s="524"/>
      <c r="H318" s="524"/>
      <c r="I318" s="524"/>
      <c r="J318" s="524"/>
      <c r="K318" s="524"/>
      <c r="L318" s="524"/>
      <c r="M318" s="524"/>
      <c r="N318" s="524"/>
    </row>
    <row r="319" spans="2:14" customFormat="1" ht="15.75" thickBot="1" x14ac:dyDescent="0.3">
      <c r="B319" s="818" t="s">
        <v>174</v>
      </c>
      <c r="C319" s="818"/>
      <c r="D319" s="818"/>
      <c r="E319" s="155">
        <v>7440</v>
      </c>
      <c r="F319" s="122"/>
      <c r="G319" s="122"/>
      <c r="H319" s="27"/>
      <c r="I319" s="457"/>
      <c r="J319" s="27"/>
      <c r="K319" s="27"/>
      <c r="L319" s="27"/>
      <c r="M319" s="27"/>
      <c r="N319" s="27"/>
    </row>
    <row r="320" spans="2:14" s="122" customFormat="1" ht="21.75" customHeight="1" thickTop="1" x14ac:dyDescent="0.2">
      <c r="B320" s="825" t="s">
        <v>125</v>
      </c>
      <c r="C320" s="825"/>
      <c r="D320" s="825"/>
      <c r="E320" s="198">
        <f>SUM(E316:E319)</f>
        <v>16422.169999999998</v>
      </c>
      <c r="F320" s="27"/>
      <c r="G320" s="27"/>
    </row>
    <row r="322" spans="2:14" customFormat="1" ht="48.75" thickBot="1" x14ac:dyDescent="0.3">
      <c r="B322" s="153" t="s">
        <v>56</v>
      </c>
      <c r="C322" s="165" t="s">
        <v>197</v>
      </c>
      <c r="D322" s="199"/>
      <c r="E322" s="200"/>
      <c r="F322" s="200"/>
      <c r="G322" s="129"/>
      <c r="H322" s="27"/>
      <c r="I322" s="457"/>
      <c r="J322" s="27"/>
      <c r="K322" s="27"/>
      <c r="L322" s="27"/>
      <c r="M322" s="27"/>
      <c r="N322" s="27"/>
    </row>
    <row r="323" spans="2:14" customFormat="1" ht="15.75" thickTop="1" x14ac:dyDescent="0.25">
      <c r="B323" s="167" t="s">
        <v>62</v>
      </c>
      <c r="C323" s="168">
        <v>112417.58</v>
      </c>
      <c r="D323" s="201"/>
      <c r="E323" s="148"/>
      <c r="F323" s="148"/>
      <c r="G323" s="27"/>
      <c r="H323" s="27"/>
      <c r="I323" s="457"/>
      <c r="J323" s="27"/>
      <c r="K323" s="27"/>
      <c r="L323" s="27"/>
      <c r="M323" s="27"/>
      <c r="N323" s="27"/>
    </row>
    <row r="324" spans="2:14" s="129" customFormat="1" x14ac:dyDescent="0.2">
      <c r="B324" s="169" t="s">
        <v>63</v>
      </c>
      <c r="C324" s="170">
        <v>41003.730000000003</v>
      </c>
      <c r="D324" s="201"/>
      <c r="E324" s="148"/>
      <c r="F324" s="148"/>
      <c r="G324" s="27"/>
    </row>
    <row r="325" spans="2:14" customFormat="1" ht="15" x14ac:dyDescent="0.25">
      <c r="B325" s="169" t="s">
        <v>64</v>
      </c>
      <c r="C325" s="170">
        <f>SUM(C326:C331)</f>
        <v>58590.48</v>
      </c>
      <c r="D325" s="201"/>
      <c r="E325" s="148"/>
      <c r="F325" s="148"/>
      <c r="G325" s="27"/>
      <c r="H325" s="27"/>
      <c r="I325" s="457"/>
      <c r="J325" s="27"/>
      <c r="K325" s="27"/>
      <c r="L325" s="27"/>
      <c r="M325" s="27"/>
      <c r="N325" s="27"/>
    </row>
    <row r="326" spans="2:14" customFormat="1" ht="15" x14ac:dyDescent="0.25">
      <c r="B326" s="171" t="s">
        <v>81</v>
      </c>
      <c r="C326" s="9">
        <v>207.2</v>
      </c>
      <c r="D326" s="201"/>
      <c r="E326" s="148"/>
      <c r="F326" s="148"/>
      <c r="G326" s="27"/>
      <c r="H326" s="27"/>
      <c r="I326" s="457"/>
      <c r="J326" s="27"/>
      <c r="K326" s="27"/>
      <c r="L326" s="27"/>
      <c r="M326" s="27"/>
      <c r="N326" s="27"/>
    </row>
    <row r="327" spans="2:14" customFormat="1" ht="15" x14ac:dyDescent="0.25">
      <c r="B327" s="171" t="s">
        <v>65</v>
      </c>
      <c r="C327" s="9">
        <v>8063.57</v>
      </c>
      <c r="D327" s="201"/>
      <c r="E327" s="148"/>
      <c r="F327" s="148"/>
      <c r="G327" s="27"/>
      <c r="H327" s="27"/>
      <c r="I327" s="457"/>
      <c r="J327" s="27"/>
      <c r="K327" s="27"/>
      <c r="L327" s="27"/>
      <c r="M327" s="27"/>
      <c r="N327" s="27"/>
    </row>
    <row r="328" spans="2:14" customFormat="1" ht="15" x14ac:dyDescent="0.25">
      <c r="B328" s="171" t="s">
        <v>66</v>
      </c>
      <c r="C328" s="9">
        <v>16279.49</v>
      </c>
      <c r="D328" s="201"/>
      <c r="E328" s="148"/>
      <c r="F328" s="148"/>
      <c r="G328" s="27"/>
      <c r="H328" s="27"/>
      <c r="I328" s="457"/>
      <c r="J328" s="27"/>
      <c r="K328" s="27"/>
      <c r="L328" s="27"/>
      <c r="M328" s="27"/>
      <c r="N328" s="27"/>
    </row>
    <row r="329" spans="2:14" s="642" customFormat="1" ht="15" x14ac:dyDescent="0.25">
      <c r="B329" s="171" t="s">
        <v>67</v>
      </c>
      <c r="C329" s="9">
        <v>8</v>
      </c>
      <c r="D329" s="201"/>
      <c r="E329" s="148"/>
      <c r="F329" s="148"/>
      <c r="G329" s="524"/>
      <c r="H329" s="524"/>
      <c r="I329" s="524"/>
      <c r="J329" s="524"/>
      <c r="K329" s="524"/>
      <c r="L329" s="524"/>
      <c r="M329" s="524"/>
      <c r="N329" s="524"/>
    </row>
    <row r="330" spans="2:14" customFormat="1" ht="15" x14ac:dyDescent="0.25">
      <c r="B330" s="171" t="s">
        <v>68</v>
      </c>
      <c r="C330" s="9">
        <v>2193.0100000000002</v>
      </c>
      <c r="D330" s="201"/>
      <c r="E330" s="148"/>
      <c r="F330" s="148"/>
      <c r="G330" s="27"/>
      <c r="H330" s="27"/>
      <c r="I330" s="457"/>
      <c r="J330" s="27"/>
      <c r="K330" s="27"/>
      <c r="L330" s="27"/>
      <c r="M330" s="27"/>
      <c r="N330" s="27"/>
    </row>
    <row r="331" spans="2:14" customFormat="1" ht="15" x14ac:dyDescent="0.25">
      <c r="B331" s="171" t="s">
        <v>70</v>
      </c>
      <c r="C331" s="9">
        <v>31839.21</v>
      </c>
      <c r="D331" s="201"/>
      <c r="E331" s="148"/>
      <c r="F331" s="148"/>
      <c r="G331" s="27"/>
      <c r="H331" s="27"/>
      <c r="I331" s="457"/>
      <c r="J331" s="27"/>
      <c r="K331" s="27"/>
      <c r="L331" s="27"/>
      <c r="M331" s="27"/>
      <c r="N331" s="27"/>
    </row>
    <row r="332" spans="2:14" customFormat="1" ht="15.75" thickBot="1" x14ac:dyDescent="0.3">
      <c r="B332" s="172" t="s">
        <v>71</v>
      </c>
      <c r="C332" s="173">
        <v>2952.41</v>
      </c>
      <c r="D332" s="201"/>
      <c r="E332" s="148"/>
      <c r="F332" s="148"/>
      <c r="G332" s="27"/>
      <c r="H332" s="27"/>
      <c r="I332" s="457"/>
      <c r="J332" s="27"/>
      <c r="K332" s="27"/>
      <c r="L332" s="27"/>
      <c r="M332" s="27"/>
      <c r="N332" s="27"/>
    </row>
    <row r="333" spans="2:14" customFormat="1" ht="19.5" customHeight="1" thickTop="1" x14ac:dyDescent="0.25">
      <c r="B333" s="202" t="s">
        <v>125</v>
      </c>
      <c r="C333" s="198">
        <f>C323+C324+C325+C332</f>
        <v>214964.2</v>
      </c>
      <c r="D333" s="203"/>
      <c r="E333" s="66"/>
      <c r="F333" s="66"/>
      <c r="G333" s="175"/>
      <c r="H333" s="27"/>
      <c r="I333" s="457"/>
      <c r="J333" s="27"/>
      <c r="K333" s="27"/>
      <c r="L333" s="27"/>
      <c r="M333" s="27"/>
      <c r="N333" s="27"/>
    </row>
    <row r="334" spans="2:14" customFormat="1" ht="15" x14ac:dyDescent="0.25">
      <c r="B334" s="27"/>
      <c r="C334" s="27"/>
      <c r="D334" s="27"/>
      <c r="E334" s="27"/>
      <c r="F334" s="27"/>
      <c r="G334" s="27"/>
      <c r="H334" s="27"/>
      <c r="I334" s="457"/>
      <c r="J334" s="27"/>
      <c r="K334" s="27"/>
      <c r="L334" s="27"/>
      <c r="M334" s="27"/>
      <c r="N334" s="27"/>
    </row>
    <row r="335" spans="2:14" customFormat="1" ht="15" x14ac:dyDescent="0.25">
      <c r="B335" s="27"/>
      <c r="C335" s="27"/>
      <c r="D335" s="27"/>
      <c r="E335" s="27"/>
      <c r="F335" s="27"/>
      <c r="G335" s="27"/>
      <c r="H335" s="27"/>
      <c r="I335" s="457"/>
      <c r="J335" s="27"/>
      <c r="K335" s="27"/>
      <c r="L335" s="27"/>
      <c r="M335" s="27"/>
      <c r="N335" s="27"/>
    </row>
    <row r="336" spans="2:14" customFormat="1" ht="18" x14ac:dyDescent="0.25">
      <c r="B336" s="152" t="s">
        <v>195</v>
      </c>
      <c r="C336" s="27"/>
      <c r="D336" s="27"/>
      <c r="E336" s="27"/>
      <c r="F336" s="27"/>
      <c r="G336" s="27"/>
      <c r="H336" s="27"/>
      <c r="I336" s="457"/>
      <c r="J336" s="27"/>
      <c r="K336" s="27"/>
      <c r="L336" s="27"/>
      <c r="M336" s="27"/>
      <c r="N336" s="27"/>
    </row>
    <row r="338" spans="2:14" customFormat="1" ht="18" customHeight="1" thickBot="1" x14ac:dyDescent="0.3">
      <c r="B338" s="816" t="s">
        <v>129</v>
      </c>
      <c r="C338" s="816"/>
      <c r="D338" s="816"/>
      <c r="E338" s="816"/>
      <c r="F338" s="27"/>
      <c r="G338" s="27"/>
      <c r="H338" s="27"/>
      <c r="I338" s="457"/>
      <c r="J338" s="27"/>
      <c r="K338" s="27"/>
      <c r="L338" s="27"/>
      <c r="M338" s="27"/>
      <c r="N338" s="27"/>
    </row>
    <row r="339" spans="2:14" customFormat="1" ht="15" customHeight="1" thickTop="1" x14ac:dyDescent="0.25">
      <c r="B339" s="817" t="s">
        <v>198</v>
      </c>
      <c r="C339" s="817"/>
      <c r="D339" s="817"/>
      <c r="E339" s="154">
        <v>86979.09</v>
      </c>
      <c r="F339" s="27"/>
      <c r="G339" s="27"/>
      <c r="H339" s="27"/>
      <c r="I339" s="457"/>
      <c r="J339" s="27"/>
      <c r="K339" s="27"/>
      <c r="L339" s="27"/>
      <c r="M339" s="27"/>
      <c r="N339" s="27"/>
    </row>
    <row r="340" spans="2:14" customFormat="1" ht="15" customHeight="1" x14ac:dyDescent="0.25">
      <c r="B340" s="818" t="s">
        <v>52</v>
      </c>
      <c r="C340" s="818"/>
      <c r="D340" s="818"/>
      <c r="E340" s="9">
        <v>1306.0899999999999</v>
      </c>
      <c r="F340" s="27"/>
      <c r="G340" s="27"/>
      <c r="H340" s="27"/>
      <c r="I340" s="457"/>
      <c r="J340" s="27"/>
      <c r="K340" s="27"/>
      <c r="L340" s="27"/>
      <c r="M340" s="27"/>
      <c r="N340" s="27"/>
    </row>
    <row r="341" spans="2:14" s="642" customFormat="1" ht="15" customHeight="1" thickBot="1" x14ac:dyDescent="0.3">
      <c r="B341" s="818" t="s">
        <v>53</v>
      </c>
      <c r="C341" s="818"/>
      <c r="D341" s="818"/>
      <c r="E341" s="9">
        <v>102.35</v>
      </c>
      <c r="F341" s="524"/>
      <c r="G341" s="524"/>
      <c r="H341" s="524"/>
      <c r="I341" s="524"/>
      <c r="J341" s="524"/>
      <c r="K341" s="524"/>
      <c r="L341" s="524"/>
      <c r="M341" s="524"/>
      <c r="N341" s="524"/>
    </row>
    <row r="342" spans="2:14" customFormat="1" ht="16.5" thickTop="1" thickBot="1" x14ac:dyDescent="0.3">
      <c r="B342" s="817" t="s">
        <v>169</v>
      </c>
      <c r="C342" s="817"/>
      <c r="D342" s="817"/>
      <c r="E342" s="155">
        <v>302</v>
      </c>
      <c r="F342" s="122"/>
      <c r="G342" s="122"/>
      <c r="H342" s="27"/>
      <c r="I342" s="457"/>
      <c r="J342" s="27"/>
      <c r="K342" s="27"/>
      <c r="L342" s="27"/>
      <c r="M342" s="27"/>
      <c r="N342" s="27"/>
    </row>
    <row r="343" spans="2:14" s="122" customFormat="1" ht="15.75" thickTop="1" x14ac:dyDescent="0.25">
      <c r="B343" s="826" t="s">
        <v>125</v>
      </c>
      <c r="C343" s="826"/>
      <c r="D343" s="826"/>
      <c r="E343" s="204">
        <f>SUM(E339:E342)</f>
        <v>88689.53</v>
      </c>
      <c r="F343" s="27"/>
      <c r="G343" s="27"/>
    </row>
    <row r="345" spans="2:14" customFormat="1" ht="48.75" thickBot="1" x14ac:dyDescent="0.3">
      <c r="B345" s="153" t="s">
        <v>56</v>
      </c>
      <c r="C345" s="165" t="s">
        <v>197</v>
      </c>
      <c r="D345" s="199"/>
      <c r="E345" s="200"/>
      <c r="F345" s="200"/>
      <c r="G345" s="129"/>
      <c r="H345" s="27"/>
      <c r="I345" s="457"/>
      <c r="J345" s="27"/>
      <c r="K345" s="27"/>
      <c r="L345" s="27"/>
      <c r="M345" s="27"/>
      <c r="N345" s="27"/>
    </row>
    <row r="346" spans="2:14" customFormat="1" ht="15.75" thickTop="1" x14ac:dyDescent="0.25">
      <c r="B346" s="167" t="s">
        <v>62</v>
      </c>
      <c r="C346" s="168">
        <v>740116.14</v>
      </c>
      <c r="D346" s="201"/>
      <c r="E346" s="148"/>
      <c r="F346" s="148"/>
      <c r="G346" s="27"/>
      <c r="H346" s="27"/>
      <c r="I346" s="457"/>
      <c r="J346" s="27"/>
      <c r="K346" s="27"/>
      <c r="L346" s="27"/>
      <c r="M346" s="27"/>
      <c r="N346" s="27"/>
    </row>
    <row r="347" spans="2:14" s="129" customFormat="1" x14ac:dyDescent="0.2">
      <c r="B347" s="169" t="s">
        <v>63</v>
      </c>
      <c r="C347" s="170">
        <v>254909.34</v>
      </c>
      <c r="D347" s="201"/>
      <c r="E347" s="148"/>
      <c r="F347" s="148"/>
      <c r="G347" s="27"/>
    </row>
    <row r="348" spans="2:14" customFormat="1" ht="15" x14ac:dyDescent="0.25">
      <c r="B348" s="169" t="s">
        <v>64</v>
      </c>
      <c r="C348" s="170">
        <f>SUM(C349:C355)</f>
        <v>109464.76000000001</v>
      </c>
      <c r="D348" s="201"/>
      <c r="E348" s="148"/>
      <c r="F348" s="148"/>
      <c r="G348" s="27"/>
      <c r="H348" s="27"/>
      <c r="I348" s="457"/>
      <c r="J348" s="27"/>
      <c r="K348" s="27"/>
      <c r="L348" s="27"/>
      <c r="M348" s="27"/>
      <c r="N348" s="27"/>
    </row>
    <row r="349" spans="2:14" customFormat="1" ht="15" x14ac:dyDescent="0.25">
      <c r="B349" s="171" t="s">
        <v>81</v>
      </c>
      <c r="C349" s="9">
        <v>302.75</v>
      </c>
      <c r="D349" s="201"/>
      <c r="E349" s="148"/>
      <c r="F349" s="148"/>
      <c r="G349" s="27"/>
      <c r="H349" s="27"/>
      <c r="I349" s="457"/>
      <c r="J349" s="27"/>
      <c r="K349" s="27"/>
      <c r="L349" s="27"/>
      <c r="M349" s="27"/>
      <c r="N349" s="27"/>
    </row>
    <row r="350" spans="2:14" customFormat="1" ht="15" x14ac:dyDescent="0.25">
      <c r="B350" s="171" t="s">
        <v>65</v>
      </c>
      <c r="C350" s="9">
        <v>25999.58</v>
      </c>
      <c r="D350" s="201"/>
      <c r="E350" s="148"/>
      <c r="F350" s="148"/>
      <c r="G350" s="27"/>
      <c r="H350" s="27"/>
      <c r="I350" s="457"/>
      <c r="J350" s="27"/>
      <c r="K350" s="27"/>
      <c r="L350" s="27"/>
      <c r="M350" s="27"/>
      <c r="N350" s="27"/>
    </row>
    <row r="351" spans="2:14" customFormat="1" ht="15" x14ac:dyDescent="0.25">
      <c r="B351" s="171" t="s">
        <v>66</v>
      </c>
      <c r="C351" s="9">
        <v>14049.42</v>
      </c>
      <c r="D351" s="201"/>
      <c r="E351" s="148"/>
      <c r="F351" s="148"/>
      <c r="G351" s="27"/>
      <c r="H351" s="27"/>
      <c r="I351" s="457"/>
      <c r="J351" s="27"/>
      <c r="K351" s="27"/>
      <c r="L351" s="27"/>
      <c r="M351" s="27"/>
      <c r="N351" s="27"/>
    </row>
    <row r="352" spans="2:14" customFormat="1" ht="15" x14ac:dyDescent="0.25">
      <c r="B352" s="171" t="s">
        <v>67</v>
      </c>
      <c r="C352" s="9">
        <v>0</v>
      </c>
      <c r="D352" s="201"/>
      <c r="E352" s="148"/>
      <c r="F352" s="148"/>
      <c r="G352" s="27"/>
      <c r="H352" s="27"/>
      <c r="I352" s="457"/>
      <c r="J352" s="27"/>
      <c r="K352" s="27"/>
      <c r="L352" s="27"/>
      <c r="M352" s="27"/>
      <c r="N352" s="27"/>
    </row>
    <row r="353" spans="2:14" customFormat="1" ht="15" x14ac:dyDescent="0.25">
      <c r="B353" s="171" t="s">
        <v>68</v>
      </c>
      <c r="C353" s="9">
        <v>15027.9</v>
      </c>
      <c r="D353" s="201"/>
      <c r="E353" s="148"/>
      <c r="F353" s="148"/>
      <c r="G353" s="27"/>
      <c r="H353" s="27"/>
      <c r="I353" s="457"/>
      <c r="J353" s="27"/>
      <c r="K353" s="27"/>
      <c r="L353" s="27"/>
      <c r="M353" s="27"/>
      <c r="N353" s="27"/>
    </row>
    <row r="354" spans="2:14" customFormat="1" ht="15" x14ac:dyDescent="0.25">
      <c r="B354" s="171" t="s">
        <v>69</v>
      </c>
      <c r="C354" s="9">
        <v>346.67</v>
      </c>
      <c r="D354" s="201"/>
      <c r="E354" s="148"/>
      <c r="F354" s="148"/>
      <c r="G354" s="27"/>
      <c r="H354" s="27"/>
      <c r="I354" s="457"/>
      <c r="J354" s="27"/>
      <c r="K354" s="27"/>
      <c r="L354" s="27"/>
      <c r="M354" s="27"/>
      <c r="N354" s="27"/>
    </row>
    <row r="355" spans="2:14" customFormat="1" ht="15" x14ac:dyDescent="0.25">
      <c r="B355" s="171" t="s">
        <v>70</v>
      </c>
      <c r="C355" s="9">
        <v>53738.44</v>
      </c>
      <c r="D355" s="203"/>
      <c r="E355" s="66"/>
      <c r="F355" s="66"/>
      <c r="G355" s="175"/>
      <c r="H355" s="27"/>
      <c r="I355" s="457"/>
      <c r="J355" s="27"/>
      <c r="K355" s="27"/>
      <c r="L355" s="27"/>
      <c r="M355" s="27"/>
      <c r="N355" s="27"/>
    </row>
    <row r="356" spans="2:14" customFormat="1" ht="15.75" thickBot="1" x14ac:dyDescent="0.3">
      <c r="B356" s="172" t="s">
        <v>71</v>
      </c>
      <c r="C356" s="173">
        <v>2455.6799999999998</v>
      </c>
      <c r="D356" s="27"/>
      <c r="E356" s="27"/>
      <c r="F356" s="27"/>
      <c r="G356" s="27"/>
      <c r="H356" s="27"/>
      <c r="I356" s="457"/>
      <c r="J356" s="27"/>
      <c r="K356" s="27"/>
      <c r="L356" s="27"/>
      <c r="M356" s="27"/>
      <c r="N356" s="27"/>
    </row>
    <row r="357" spans="2:14" customFormat="1" ht="21.75" customHeight="1" thickTop="1" x14ac:dyDescent="0.25">
      <c r="B357" s="202" t="s">
        <v>125</v>
      </c>
      <c r="C357" s="198">
        <f>C346+C347+C348+C356</f>
        <v>1106945.92</v>
      </c>
      <c r="D357" s="27"/>
      <c r="E357" s="27"/>
      <c r="F357" s="27"/>
      <c r="G357" s="27"/>
      <c r="H357" s="27"/>
      <c r="I357" s="457"/>
      <c r="J357" s="27"/>
      <c r="K357" s="27"/>
      <c r="L357" s="27"/>
      <c r="M357" s="27"/>
      <c r="N357" s="27"/>
    </row>
  </sheetData>
  <mergeCells count="84">
    <mergeCell ref="B342:D342"/>
    <mergeCell ref="B343:D343"/>
    <mergeCell ref="B316:D316"/>
    <mergeCell ref="B319:D319"/>
    <mergeCell ref="B320:D320"/>
    <mergeCell ref="B338:E338"/>
    <mergeCell ref="B339:D339"/>
    <mergeCell ref="B340:D340"/>
    <mergeCell ref="B341:D341"/>
    <mergeCell ref="B317:D317"/>
    <mergeCell ref="B318:D318"/>
    <mergeCell ref="B260:D260"/>
    <mergeCell ref="B261:D261"/>
    <mergeCell ref="B262:D262"/>
    <mergeCell ref="B252:D252"/>
    <mergeCell ref="B253:D253"/>
    <mergeCell ref="B254:D254"/>
    <mergeCell ref="B255:D255"/>
    <mergeCell ref="B256:D256"/>
    <mergeCell ref="B315:E315"/>
    <mergeCell ref="B259:D259"/>
    <mergeCell ref="B251:E251"/>
    <mergeCell ref="B193:D193"/>
    <mergeCell ref="B194:D194"/>
    <mergeCell ref="B196:D196"/>
    <mergeCell ref="B200:D200"/>
    <mergeCell ref="B218:E218"/>
    <mergeCell ref="B219:D219"/>
    <mergeCell ref="B220:D220"/>
    <mergeCell ref="B221:D221"/>
    <mergeCell ref="B222:D222"/>
    <mergeCell ref="B225:D225"/>
    <mergeCell ref="B226:D226"/>
    <mergeCell ref="B257:D257"/>
    <mergeCell ref="B258:D258"/>
    <mergeCell ref="B192:D192"/>
    <mergeCell ref="B134:D134"/>
    <mergeCell ref="B151:E151"/>
    <mergeCell ref="B152:D152"/>
    <mergeCell ref="B153:D153"/>
    <mergeCell ref="B154:D154"/>
    <mergeCell ref="B155:D155"/>
    <mergeCell ref="B157:D157"/>
    <mergeCell ref="B158:D158"/>
    <mergeCell ref="B159:D159"/>
    <mergeCell ref="B160:D160"/>
    <mergeCell ref="B191:E191"/>
    <mergeCell ref="B132:D132"/>
    <mergeCell ref="B95:E95"/>
    <mergeCell ref="B96:D96"/>
    <mergeCell ref="B97:D97"/>
    <mergeCell ref="B98:D98"/>
    <mergeCell ref="B99:D99"/>
    <mergeCell ref="B100:D100"/>
    <mergeCell ref="B102:D102"/>
    <mergeCell ref="B104:D104"/>
    <mergeCell ref="B105:D105"/>
    <mergeCell ref="B130:E130"/>
    <mergeCell ref="B131:D131"/>
    <mergeCell ref="B77:D77"/>
    <mergeCell ref="B37:D37"/>
    <mergeCell ref="B38:D38"/>
    <mergeCell ref="B41:D41"/>
    <mergeCell ref="B42:D42"/>
    <mergeCell ref="B43:D43"/>
    <mergeCell ref="B44:D44"/>
    <mergeCell ref="B69:E69"/>
    <mergeCell ref="B70:D70"/>
    <mergeCell ref="B71:D71"/>
    <mergeCell ref="B72:D72"/>
    <mergeCell ref="B73:D73"/>
    <mergeCell ref="B75:D75"/>
    <mergeCell ref="B36:D36"/>
    <mergeCell ref="B5:E5"/>
    <mergeCell ref="B6:D6"/>
    <mergeCell ref="B7:D7"/>
    <mergeCell ref="B8:D8"/>
    <mergeCell ref="B9:D9"/>
    <mergeCell ref="B12:D12"/>
    <mergeCell ref="B13:D13"/>
    <mergeCell ref="B14:D14"/>
    <mergeCell ref="B33:E33"/>
    <mergeCell ref="B34:D34"/>
    <mergeCell ref="B35:D35"/>
  </mergeCells>
  <pageMargins left="0.55118110236220474" right="0.19685039370078741" top="0.19685039370078741" bottom="7.874015748031496E-2" header="0.19685039370078741" footer="7.874015748031496E-2"/>
  <pageSetup paperSize="9" scale="80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C1:J58"/>
  <sheetViews>
    <sheetView workbookViewId="0"/>
  </sheetViews>
  <sheetFormatPr defaultRowHeight="14.25" x14ac:dyDescent="0.2"/>
  <cols>
    <col min="1" max="1" width="1.5703125" style="1" customWidth="1"/>
    <col min="2" max="2" width="4.28515625" style="1" customWidth="1"/>
    <col min="3" max="3" width="6.28515625" style="1" customWidth="1"/>
    <col min="4" max="4" width="51" style="1" customWidth="1"/>
    <col min="5" max="5" width="60.7109375" style="1" customWidth="1"/>
    <col min="6" max="6" width="15.5703125" style="1" customWidth="1"/>
    <col min="7" max="7" width="9.140625" style="1" customWidth="1"/>
    <col min="8" max="16384" width="9.140625" style="1"/>
  </cols>
  <sheetData>
    <row r="1" spans="3:6" customFormat="1" ht="15" x14ac:dyDescent="0.25">
      <c r="C1" s="1"/>
      <c r="D1" s="1"/>
      <c r="E1" s="1"/>
      <c r="F1" s="1"/>
    </row>
    <row r="2" spans="3:6" customFormat="1" ht="18" x14ac:dyDescent="0.25">
      <c r="C2" s="787" t="s">
        <v>553</v>
      </c>
      <c r="D2" s="787"/>
      <c r="E2" s="787"/>
      <c r="F2" s="119" t="s">
        <v>199</v>
      </c>
    </row>
    <row r="3" spans="3:6" customFormat="1" ht="6" customHeight="1" thickBot="1" x14ac:dyDescent="0.3">
      <c r="C3" s="205"/>
      <c r="D3" s="206"/>
      <c r="E3" s="206"/>
      <c r="F3" s="207"/>
    </row>
    <row r="4" spans="3:6" customFormat="1" ht="33" customHeight="1" x14ac:dyDescent="0.25">
      <c r="C4" s="208" t="s">
        <v>200</v>
      </c>
      <c r="D4" s="3" t="s">
        <v>201</v>
      </c>
      <c r="E4" s="3" t="s">
        <v>202</v>
      </c>
      <c r="F4" s="209" t="s">
        <v>203</v>
      </c>
    </row>
    <row r="5" spans="3:6" customFormat="1" ht="15" x14ac:dyDescent="0.25">
      <c r="C5" s="827" t="s">
        <v>204</v>
      </c>
      <c r="D5" s="827"/>
      <c r="E5" s="827"/>
      <c r="F5" s="211">
        <f>SUM(F6:F20)</f>
        <v>8987147.1999999993</v>
      </c>
    </row>
    <row r="6" spans="3:6" customFormat="1" ht="15" x14ac:dyDescent="0.25">
      <c r="C6" s="7">
        <v>1</v>
      </c>
      <c r="D6" s="643" t="s">
        <v>962</v>
      </c>
      <c r="E6" s="643" t="s">
        <v>963</v>
      </c>
      <c r="F6" s="699">
        <v>18899</v>
      </c>
    </row>
    <row r="7" spans="3:6" customFormat="1" ht="15" x14ac:dyDescent="0.25">
      <c r="C7" s="7">
        <v>2</v>
      </c>
      <c r="D7" s="643" t="s">
        <v>962</v>
      </c>
      <c r="E7" s="643" t="s">
        <v>964</v>
      </c>
      <c r="F7" s="699">
        <v>108892</v>
      </c>
    </row>
    <row r="8" spans="3:6" customFormat="1" ht="15" x14ac:dyDescent="0.25">
      <c r="C8" s="7">
        <v>3</v>
      </c>
      <c r="D8" s="643" t="s">
        <v>962</v>
      </c>
      <c r="E8" s="643" t="s">
        <v>965</v>
      </c>
      <c r="F8" s="699">
        <v>97727</v>
      </c>
    </row>
    <row r="9" spans="3:6" customFormat="1" ht="15" x14ac:dyDescent="0.25">
      <c r="C9" s="7">
        <v>4</v>
      </c>
      <c r="D9" s="643" t="s">
        <v>962</v>
      </c>
      <c r="E9" s="643" t="s">
        <v>966</v>
      </c>
      <c r="F9" s="699">
        <v>19447.599999999999</v>
      </c>
    </row>
    <row r="10" spans="3:6" customFormat="1" ht="25.5" x14ac:dyDescent="0.25">
      <c r="C10" s="7">
        <v>5</v>
      </c>
      <c r="D10" s="644" t="s">
        <v>962</v>
      </c>
      <c r="E10" s="645" t="s">
        <v>967</v>
      </c>
      <c r="F10" s="700">
        <v>7963928</v>
      </c>
    </row>
    <row r="11" spans="3:6" customFormat="1" ht="15" x14ac:dyDescent="0.25">
      <c r="C11" s="7">
        <v>6</v>
      </c>
      <c r="D11" s="643" t="s">
        <v>962</v>
      </c>
      <c r="E11" s="643" t="s">
        <v>968</v>
      </c>
      <c r="F11" s="699">
        <v>2250</v>
      </c>
    </row>
    <row r="12" spans="3:6" customFormat="1" ht="15" x14ac:dyDescent="0.25">
      <c r="C12" s="7">
        <v>7</v>
      </c>
      <c r="D12" s="643" t="s">
        <v>962</v>
      </c>
      <c r="E12" s="643" t="s">
        <v>969</v>
      </c>
      <c r="F12" s="699">
        <v>5400</v>
      </c>
    </row>
    <row r="13" spans="3:6" customFormat="1" ht="15" x14ac:dyDescent="0.25">
      <c r="C13" s="7">
        <v>8</v>
      </c>
      <c r="D13" s="643" t="s">
        <v>962</v>
      </c>
      <c r="E13" s="643" t="s">
        <v>970</v>
      </c>
      <c r="F13" s="699">
        <v>18927</v>
      </c>
    </row>
    <row r="14" spans="3:6" customFormat="1" ht="15" x14ac:dyDescent="0.25">
      <c r="C14" s="7">
        <v>9</v>
      </c>
      <c r="D14" s="643" t="s">
        <v>962</v>
      </c>
      <c r="E14" s="643" t="s">
        <v>971</v>
      </c>
      <c r="F14" s="699">
        <v>82037</v>
      </c>
    </row>
    <row r="15" spans="3:6" customFormat="1" ht="15" x14ac:dyDescent="0.25">
      <c r="C15" s="7">
        <v>10</v>
      </c>
      <c r="D15" s="643" t="s">
        <v>962</v>
      </c>
      <c r="E15" s="643" t="s">
        <v>972</v>
      </c>
      <c r="F15" s="699">
        <v>48386</v>
      </c>
    </row>
    <row r="16" spans="3:6" customFormat="1" ht="15" x14ac:dyDescent="0.25">
      <c r="C16" s="7">
        <v>11</v>
      </c>
      <c r="D16" s="643" t="s">
        <v>962</v>
      </c>
      <c r="E16" s="643" t="s">
        <v>973</v>
      </c>
      <c r="F16" s="699">
        <v>40700</v>
      </c>
    </row>
    <row r="17" spans="3:10" customFormat="1" ht="15" x14ac:dyDescent="0.25">
      <c r="C17" s="7">
        <v>12</v>
      </c>
      <c r="D17" s="643" t="s">
        <v>962</v>
      </c>
      <c r="E17" s="643" t="s">
        <v>974</v>
      </c>
      <c r="F17" s="699">
        <v>54150</v>
      </c>
    </row>
    <row r="18" spans="3:10" customFormat="1" ht="15" x14ac:dyDescent="0.25">
      <c r="C18" s="7">
        <v>13</v>
      </c>
      <c r="D18" s="643" t="s">
        <v>975</v>
      </c>
      <c r="E18" s="643" t="s">
        <v>976</v>
      </c>
      <c r="F18" s="699">
        <v>431.6</v>
      </c>
    </row>
    <row r="19" spans="3:10" customFormat="1" ht="15" x14ac:dyDescent="0.25">
      <c r="C19" s="7">
        <v>14</v>
      </c>
      <c r="D19" s="643" t="s">
        <v>975</v>
      </c>
      <c r="E19" s="643" t="s">
        <v>977</v>
      </c>
      <c r="F19" s="699">
        <v>422343.6</v>
      </c>
    </row>
    <row r="20" spans="3:10" s="624" customFormat="1" ht="15" x14ac:dyDescent="0.25">
      <c r="C20" s="7">
        <v>15</v>
      </c>
      <c r="D20" s="643" t="s">
        <v>975</v>
      </c>
      <c r="E20" s="643" t="s">
        <v>978</v>
      </c>
      <c r="F20" s="699">
        <v>103628.4</v>
      </c>
    </row>
    <row r="21" spans="3:10" customFormat="1" ht="15" x14ac:dyDescent="0.25">
      <c r="C21" s="828" t="s">
        <v>205</v>
      </c>
      <c r="D21" s="828"/>
      <c r="E21" s="828"/>
      <c r="F21" s="698">
        <f>SUM(F22:F41)</f>
        <v>1351761.1299999997</v>
      </c>
    </row>
    <row r="22" spans="3:10" customFormat="1" ht="15" x14ac:dyDescent="0.25">
      <c r="C22" s="7">
        <v>16</v>
      </c>
      <c r="D22" s="643" t="s">
        <v>962</v>
      </c>
      <c r="E22" s="643" t="s">
        <v>979</v>
      </c>
      <c r="F22" s="699">
        <v>9236.01</v>
      </c>
      <c r="H22" s="212"/>
      <c r="I22" s="212"/>
      <c r="J22" s="212"/>
    </row>
    <row r="23" spans="3:10" customFormat="1" ht="15" x14ac:dyDescent="0.25">
      <c r="C23" s="7">
        <v>17</v>
      </c>
      <c r="D23" s="645" t="s">
        <v>980</v>
      </c>
      <c r="E23" s="646" t="s">
        <v>981</v>
      </c>
      <c r="F23" s="700">
        <v>24477.53</v>
      </c>
      <c r="H23" s="212"/>
      <c r="I23" s="212"/>
      <c r="J23" s="212"/>
    </row>
    <row r="24" spans="3:10" customFormat="1" ht="15" x14ac:dyDescent="0.25">
      <c r="C24" s="7">
        <v>18</v>
      </c>
      <c r="D24" s="643" t="s">
        <v>962</v>
      </c>
      <c r="E24" s="644" t="s">
        <v>982</v>
      </c>
      <c r="F24" s="700">
        <v>5191.6000000000004</v>
      </c>
      <c r="H24" s="212"/>
      <c r="I24" s="212"/>
      <c r="J24" s="212"/>
    </row>
    <row r="25" spans="3:10" s="67" customFormat="1" x14ac:dyDescent="0.2">
      <c r="C25" s="7">
        <v>19</v>
      </c>
      <c r="D25" s="645" t="s">
        <v>983</v>
      </c>
      <c r="E25" s="645" t="s">
        <v>984</v>
      </c>
      <c r="F25" s="701">
        <v>2399.1999999999998</v>
      </c>
      <c r="H25" s="214"/>
      <c r="I25" s="214"/>
      <c r="J25" s="214"/>
    </row>
    <row r="26" spans="3:10" s="67" customFormat="1" x14ac:dyDescent="0.2">
      <c r="C26" s="7">
        <v>20</v>
      </c>
      <c r="D26" s="645" t="s">
        <v>983</v>
      </c>
      <c r="E26" s="643" t="s">
        <v>985</v>
      </c>
      <c r="F26" s="699">
        <v>72531.320000000007</v>
      </c>
      <c r="H26" s="215"/>
      <c r="I26" s="214"/>
      <c r="J26" s="214"/>
    </row>
    <row r="27" spans="3:10" s="67" customFormat="1" x14ac:dyDescent="0.2">
      <c r="C27" s="7">
        <v>21</v>
      </c>
      <c r="D27" s="645" t="s">
        <v>986</v>
      </c>
      <c r="E27" s="644" t="s">
        <v>987</v>
      </c>
      <c r="F27" s="700">
        <v>888192</v>
      </c>
      <c r="H27" s="214"/>
      <c r="I27" s="214"/>
      <c r="J27" s="214"/>
    </row>
    <row r="28" spans="3:10" customFormat="1" ht="15" x14ac:dyDescent="0.25">
      <c r="C28" s="7">
        <v>22</v>
      </c>
      <c r="D28" s="643" t="s">
        <v>988</v>
      </c>
      <c r="E28" s="643" t="s">
        <v>989</v>
      </c>
      <c r="F28" s="699">
        <v>8000</v>
      </c>
      <c r="H28" s="212"/>
      <c r="I28" s="212"/>
      <c r="J28" s="212"/>
    </row>
    <row r="29" spans="3:10" customFormat="1" ht="15" x14ac:dyDescent="0.25">
      <c r="C29" s="7">
        <v>23</v>
      </c>
      <c r="D29" s="643" t="s">
        <v>962</v>
      </c>
      <c r="E29" s="643" t="s">
        <v>990</v>
      </c>
      <c r="F29" s="702">
        <v>118652.78</v>
      </c>
    </row>
    <row r="30" spans="3:10" customFormat="1" ht="15" x14ac:dyDescent="0.25">
      <c r="C30" s="7">
        <v>24</v>
      </c>
      <c r="D30" s="643" t="s">
        <v>962</v>
      </c>
      <c r="E30" s="643" t="s">
        <v>991</v>
      </c>
      <c r="F30" s="702">
        <v>442</v>
      </c>
    </row>
    <row r="31" spans="3:10" customFormat="1" ht="15" x14ac:dyDescent="0.25">
      <c r="C31" s="7">
        <v>25</v>
      </c>
      <c r="D31" s="643" t="s">
        <v>962</v>
      </c>
      <c r="E31" s="643" t="s">
        <v>992</v>
      </c>
      <c r="F31" s="703">
        <v>18327.21</v>
      </c>
    </row>
    <row r="32" spans="3:10" customFormat="1" ht="15" x14ac:dyDescent="0.25">
      <c r="C32" s="7">
        <v>26</v>
      </c>
      <c r="D32" s="643" t="s">
        <v>962</v>
      </c>
      <c r="E32" s="647" t="s">
        <v>993</v>
      </c>
      <c r="F32" s="704">
        <v>55606.63</v>
      </c>
    </row>
    <row r="33" spans="3:8" customFormat="1" ht="15" x14ac:dyDescent="0.25">
      <c r="C33" s="7">
        <v>27</v>
      </c>
      <c r="D33" s="643" t="s">
        <v>962</v>
      </c>
      <c r="E33" s="647" t="s">
        <v>994</v>
      </c>
      <c r="F33" s="704">
        <v>36568</v>
      </c>
    </row>
    <row r="34" spans="3:8" customFormat="1" ht="15" x14ac:dyDescent="0.25">
      <c r="C34" s="7">
        <v>28</v>
      </c>
      <c r="D34" s="647" t="s">
        <v>975</v>
      </c>
      <c r="E34" s="647" t="s">
        <v>995</v>
      </c>
      <c r="F34" s="704">
        <v>6410.4</v>
      </c>
      <c r="G34" s="1"/>
      <c r="H34" s="1"/>
    </row>
    <row r="35" spans="3:8" customFormat="1" ht="25.5" x14ac:dyDescent="0.25">
      <c r="C35" s="7">
        <v>29</v>
      </c>
      <c r="D35" s="648" t="s">
        <v>996</v>
      </c>
      <c r="E35" s="649" t="s">
        <v>997</v>
      </c>
      <c r="F35" s="705">
        <v>73584.44</v>
      </c>
      <c r="G35" s="1"/>
      <c r="H35" s="1"/>
    </row>
    <row r="36" spans="3:8" customFormat="1" ht="15" x14ac:dyDescent="0.25">
      <c r="C36" s="7">
        <v>30</v>
      </c>
      <c r="D36" s="647" t="s">
        <v>998</v>
      </c>
      <c r="E36" s="647" t="s">
        <v>999</v>
      </c>
      <c r="F36" s="704">
        <v>2276.36</v>
      </c>
      <c r="G36" s="1"/>
      <c r="H36" s="1"/>
    </row>
    <row r="37" spans="3:8" s="67" customFormat="1" x14ac:dyDescent="0.2">
      <c r="C37" s="7">
        <v>31</v>
      </c>
      <c r="D37" s="647" t="s">
        <v>998</v>
      </c>
      <c r="E37" s="647" t="s">
        <v>1000</v>
      </c>
      <c r="F37" s="704">
        <v>13507.39</v>
      </c>
      <c r="H37" s="829"/>
    </row>
    <row r="38" spans="3:8" customFormat="1" ht="15" x14ac:dyDescent="0.25">
      <c r="C38" s="7">
        <v>32</v>
      </c>
      <c r="D38" s="647" t="s">
        <v>1001</v>
      </c>
      <c r="E38" s="647" t="s">
        <v>1002</v>
      </c>
      <c r="F38" s="704">
        <v>10000</v>
      </c>
      <c r="G38" s="1"/>
      <c r="H38" s="829"/>
    </row>
    <row r="39" spans="3:8" customFormat="1" ht="15" x14ac:dyDescent="0.25">
      <c r="C39" s="7">
        <v>33</v>
      </c>
      <c r="D39" s="647" t="s">
        <v>1003</v>
      </c>
      <c r="E39" s="647" t="s">
        <v>1004</v>
      </c>
      <c r="F39" s="704">
        <v>1978.8</v>
      </c>
      <c r="G39" s="1"/>
      <c r="H39" s="829"/>
    </row>
    <row r="40" spans="3:8" customFormat="1" ht="15" x14ac:dyDescent="0.25">
      <c r="C40" s="7">
        <v>34</v>
      </c>
      <c r="D40" s="643" t="s">
        <v>1005</v>
      </c>
      <c r="E40" s="643" t="s">
        <v>1006</v>
      </c>
      <c r="F40" s="699">
        <v>3000</v>
      </c>
      <c r="G40" s="1"/>
      <c r="H40" s="829"/>
    </row>
    <row r="41" spans="3:8" s="624" customFormat="1" ht="15" x14ac:dyDescent="0.25">
      <c r="C41" s="7">
        <v>35</v>
      </c>
      <c r="D41" s="643" t="s">
        <v>1005</v>
      </c>
      <c r="E41" s="643" t="s">
        <v>1007</v>
      </c>
      <c r="F41" s="699">
        <v>1379.46</v>
      </c>
      <c r="G41" s="1"/>
      <c r="H41" s="829"/>
    </row>
    <row r="42" spans="3:8" s="67" customFormat="1" ht="22.5" customHeight="1" thickBot="1" x14ac:dyDescent="0.3">
      <c r="C42" s="830" t="s">
        <v>125</v>
      </c>
      <c r="D42" s="830"/>
      <c r="E42" s="830"/>
      <c r="F42" s="216">
        <f>F21+F5</f>
        <v>10338908.329999998</v>
      </c>
      <c r="H42" s="829"/>
    </row>
    <row r="43" spans="3:8" customFormat="1" ht="56.25" customHeight="1" x14ac:dyDescent="0.25">
      <c r="C43" s="1"/>
      <c r="D43" s="1"/>
      <c r="E43" s="1"/>
      <c r="F43" s="1"/>
      <c r="G43" s="1"/>
      <c r="H43" s="1"/>
    </row>
    <row r="44" spans="3:8" customFormat="1" ht="15" x14ac:dyDescent="0.25">
      <c r="C44" s="1"/>
      <c r="D44" s="1"/>
      <c r="E44" s="1"/>
      <c r="F44" s="1"/>
      <c r="G44" s="1"/>
      <c r="H44" s="1"/>
    </row>
    <row r="45" spans="3:8" customFormat="1" ht="15" x14ac:dyDescent="0.25">
      <c r="C45" s="1"/>
      <c r="D45" s="1"/>
      <c r="E45" s="1"/>
      <c r="F45" s="217"/>
      <c r="G45" s="1"/>
      <c r="H45" s="1"/>
    </row>
    <row r="46" spans="3:8" customFormat="1" ht="15" x14ac:dyDescent="0.25">
      <c r="C46" s="1"/>
      <c r="D46" s="1"/>
      <c r="E46" s="1"/>
      <c r="F46" s="51"/>
      <c r="G46" s="1"/>
      <c r="H46" s="1"/>
    </row>
    <row r="47" spans="3:8" customFormat="1" ht="15" x14ac:dyDescent="0.25">
      <c r="C47" s="1"/>
      <c r="D47" s="1"/>
      <c r="E47" s="1"/>
      <c r="F47" s="51"/>
      <c r="G47" s="1"/>
      <c r="H47" s="1"/>
    </row>
    <row r="48" spans="3:8" customFormat="1" ht="15" x14ac:dyDescent="0.25">
      <c r="C48" s="1"/>
      <c r="D48" s="1"/>
      <c r="E48" s="1"/>
      <c r="F48" s="1"/>
      <c r="G48" s="1"/>
      <c r="H48" s="1"/>
    </row>
    <row r="58" spans="6:6" customFormat="1" ht="15" x14ac:dyDescent="0.25">
      <c r="F58" s="51"/>
    </row>
  </sheetData>
  <mergeCells count="5">
    <mergeCell ref="C5:E5"/>
    <mergeCell ref="C21:E21"/>
    <mergeCell ref="H37:H42"/>
    <mergeCell ref="C42:E42"/>
    <mergeCell ref="C2:E2"/>
  </mergeCells>
  <pageMargins left="0.59055118110236182" right="0.70866141732283516" top="0.15748031496063003" bottom="0.15748031496063003" header="0.15748031496063003" footer="0.15748031496063003"/>
  <pageSetup paperSize="9" scale="90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I31"/>
  <sheetViews>
    <sheetView workbookViewId="0">
      <selection activeCell="E3" sqref="E3"/>
    </sheetView>
  </sheetViews>
  <sheetFormatPr defaultRowHeight="14.25" x14ac:dyDescent="0.2"/>
  <cols>
    <col min="1" max="1" width="9.140625" style="1" customWidth="1"/>
    <col min="2" max="2" width="6.140625" style="1" customWidth="1"/>
    <col min="3" max="3" width="43.28515625" style="1" customWidth="1"/>
    <col min="4" max="4" width="46.28515625" style="1" customWidth="1"/>
    <col min="5" max="5" width="14.5703125" style="51" customWidth="1"/>
    <col min="6" max="6" width="9.140625" style="1" customWidth="1"/>
    <col min="7" max="16384" width="9.140625" style="1"/>
  </cols>
  <sheetData>
    <row r="1" spans="1:9" customFormat="1" ht="15" x14ac:dyDescent="0.25">
      <c r="A1" s="1" t="s">
        <v>206</v>
      </c>
      <c r="B1" s="1"/>
      <c r="C1" s="1"/>
      <c r="D1" s="1"/>
      <c r="E1" s="51"/>
    </row>
    <row r="2" spans="1:9" customFormat="1" ht="16.5" x14ac:dyDescent="0.25">
      <c r="A2" s="1"/>
      <c r="B2" s="831" t="s">
        <v>554</v>
      </c>
      <c r="C2" s="831"/>
      <c r="D2" s="831"/>
      <c r="E2" s="119" t="s">
        <v>1036</v>
      </c>
    </row>
    <row r="3" spans="1:9" customFormat="1" ht="15.75" thickBot="1" x14ac:dyDescent="0.3">
      <c r="A3" s="1"/>
      <c r="B3" s="220"/>
      <c r="C3" s="221"/>
      <c r="D3" s="42"/>
      <c r="E3" s="222"/>
    </row>
    <row r="4" spans="1:9" customFormat="1" ht="24" x14ac:dyDescent="0.25">
      <c r="A4" s="1"/>
      <c r="B4" s="208" t="s">
        <v>200</v>
      </c>
      <c r="C4" s="3" t="s">
        <v>201</v>
      </c>
      <c r="D4" s="3" t="s">
        <v>202</v>
      </c>
      <c r="E4" s="706" t="s">
        <v>203</v>
      </c>
      <c r="G4" s="151"/>
      <c r="H4" s="151"/>
      <c r="I4" s="151"/>
    </row>
    <row r="5" spans="1:9" s="67" customFormat="1" x14ac:dyDescent="0.2">
      <c r="B5" s="213">
        <v>1</v>
      </c>
      <c r="C5" s="652" t="s">
        <v>998</v>
      </c>
      <c r="D5" s="647" t="s">
        <v>1008</v>
      </c>
      <c r="E5" s="705">
        <v>330917.45</v>
      </c>
      <c r="G5" s="223"/>
      <c r="H5" s="223"/>
      <c r="I5" s="223"/>
    </row>
    <row r="6" spans="1:9" s="67" customFormat="1" x14ac:dyDescent="0.2">
      <c r="B6" s="213">
        <v>2</v>
      </c>
      <c r="C6" s="652" t="s">
        <v>998</v>
      </c>
      <c r="D6" s="647" t="s">
        <v>1009</v>
      </c>
      <c r="E6" s="700">
        <v>64128.2</v>
      </c>
      <c r="G6" s="223"/>
      <c r="H6" s="223"/>
      <c r="I6" s="223"/>
    </row>
    <row r="7" spans="1:9" s="67" customFormat="1" ht="25.5" x14ac:dyDescent="0.25">
      <c r="B7" s="213">
        <v>3</v>
      </c>
      <c r="C7" s="644" t="s">
        <v>983</v>
      </c>
      <c r="D7" s="645" t="s">
        <v>1010</v>
      </c>
      <c r="E7" s="700">
        <v>414720</v>
      </c>
      <c r="G7" s="223"/>
      <c r="H7" s="223"/>
      <c r="I7" s="223"/>
    </row>
    <row r="8" spans="1:9" s="67" customFormat="1" ht="25.5" x14ac:dyDescent="0.25">
      <c r="B8" s="213">
        <v>4</v>
      </c>
      <c r="C8" s="645" t="s">
        <v>996</v>
      </c>
      <c r="D8" s="650" t="s">
        <v>1011</v>
      </c>
      <c r="E8" s="700">
        <v>51129</v>
      </c>
      <c r="G8" s="223"/>
      <c r="H8" s="223"/>
      <c r="I8" s="223"/>
    </row>
    <row r="9" spans="1:9" s="67" customFormat="1" ht="38.25" x14ac:dyDescent="0.25">
      <c r="B9" s="213">
        <v>5</v>
      </c>
      <c r="C9" s="650" t="s">
        <v>996</v>
      </c>
      <c r="D9" s="651" t="s">
        <v>1012</v>
      </c>
      <c r="E9" s="700">
        <v>95583.75</v>
      </c>
      <c r="G9" s="224"/>
      <c r="H9" s="224"/>
      <c r="I9" s="223"/>
    </row>
    <row r="10" spans="1:9" s="67" customFormat="1" ht="25.5" x14ac:dyDescent="0.25">
      <c r="B10" s="213">
        <v>6</v>
      </c>
      <c r="C10" s="652" t="s">
        <v>998</v>
      </c>
      <c r="D10" s="645" t="s">
        <v>1013</v>
      </c>
      <c r="E10" s="700">
        <v>638464.38</v>
      </c>
      <c r="G10" s="224"/>
      <c r="H10" s="224"/>
      <c r="I10" s="223"/>
    </row>
    <row r="11" spans="1:9" s="67" customFormat="1" ht="51" x14ac:dyDescent="0.25">
      <c r="B11" s="213">
        <v>7</v>
      </c>
      <c r="C11" s="645" t="s">
        <v>996</v>
      </c>
      <c r="D11" s="651" t="s">
        <v>1014</v>
      </c>
      <c r="E11" s="700">
        <v>660202.77</v>
      </c>
      <c r="G11" s="224"/>
      <c r="H11" s="224"/>
      <c r="I11" s="223"/>
    </row>
    <row r="12" spans="1:9" s="67" customFormat="1" x14ac:dyDescent="0.25">
      <c r="B12" s="213">
        <v>8</v>
      </c>
      <c r="C12" s="652" t="s">
        <v>1001</v>
      </c>
      <c r="D12" s="652" t="s">
        <v>1015</v>
      </c>
      <c r="E12" s="705">
        <v>1000000</v>
      </c>
      <c r="G12" s="214"/>
      <c r="H12" s="214"/>
    </row>
    <row r="13" spans="1:9" s="67" customFormat="1" ht="21.75" customHeight="1" thickBot="1" x14ac:dyDescent="0.3">
      <c r="B13" s="225" t="s">
        <v>125</v>
      </c>
      <c r="C13" s="226"/>
      <c r="D13" s="226"/>
      <c r="E13" s="70">
        <f>SUM(E5:E12)</f>
        <v>3255145.55</v>
      </c>
      <c r="G13" s="214"/>
      <c r="H13" s="214"/>
    </row>
    <row r="16" spans="1:9" customFormat="1" ht="15" x14ac:dyDescent="0.25">
      <c r="A16" s="1"/>
      <c r="B16" s="1"/>
      <c r="C16" s="1"/>
      <c r="D16" s="1"/>
      <c r="E16" s="227"/>
    </row>
    <row r="18" spans="1:7" customFormat="1" ht="15" x14ac:dyDescent="0.25">
      <c r="A18" s="1"/>
      <c r="B18" s="1"/>
      <c r="C18" s="228"/>
      <c r="D18" s="1"/>
      <c r="E18" s="51"/>
    </row>
    <row r="29" spans="1:7" customFormat="1" ht="15" x14ac:dyDescent="0.25">
      <c r="E29" s="51"/>
      <c r="F29" s="1"/>
      <c r="G29" s="829"/>
    </row>
    <row r="30" spans="1:7" customFormat="1" ht="15" x14ac:dyDescent="0.25">
      <c r="E30" s="51"/>
      <c r="F30" s="1"/>
      <c r="G30" s="829"/>
    </row>
    <row r="31" spans="1:7" customFormat="1" ht="15" x14ac:dyDescent="0.25">
      <c r="E31" s="51"/>
      <c r="F31" s="1"/>
      <c r="G31" s="829"/>
    </row>
  </sheetData>
  <mergeCells count="2">
    <mergeCell ref="G29:G31"/>
    <mergeCell ref="B2:D2"/>
  </mergeCells>
  <pageMargins left="0.62992125984252012" right="0.62992125984252012" top="0.74803149606299213" bottom="0.74803149606299213" header="0.31496062992126012" footer="0.31496062992126012"/>
  <pageSetup paperSize="9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B1:F45"/>
  <sheetViews>
    <sheetView workbookViewId="0"/>
  </sheetViews>
  <sheetFormatPr defaultColWidth="17.42578125" defaultRowHeight="14.25" x14ac:dyDescent="0.2"/>
  <cols>
    <col min="1" max="1" width="17.42578125" style="1" customWidth="1"/>
    <col min="2" max="2" width="6.7109375" style="1" customWidth="1"/>
    <col min="3" max="3" width="38.85546875" style="1" customWidth="1"/>
    <col min="4" max="4" width="14.85546875" style="1" bestFit="1" customWidth="1"/>
    <col min="5" max="5" width="17.42578125" style="1" customWidth="1"/>
    <col min="6" max="16384" width="17.42578125" style="1"/>
  </cols>
  <sheetData>
    <row r="1" spans="2:5" x14ac:dyDescent="0.2">
      <c r="B1" s="229"/>
      <c r="C1" s="229"/>
      <c r="D1" s="229"/>
      <c r="E1" s="229"/>
    </row>
    <row r="2" spans="2:5" x14ac:dyDescent="0.2">
      <c r="B2" s="229"/>
      <c r="C2" s="229"/>
      <c r="D2" s="229"/>
      <c r="E2" s="229"/>
    </row>
    <row r="3" spans="2:5" x14ac:dyDescent="0.2">
      <c r="B3" s="230"/>
      <c r="C3" s="229"/>
      <c r="D3" s="231" t="s">
        <v>207</v>
      </c>
      <c r="E3" s="229"/>
    </row>
    <row r="4" spans="2:5" x14ac:dyDescent="0.2">
      <c r="B4" s="230"/>
      <c r="C4" s="229"/>
      <c r="D4" s="229"/>
      <c r="E4" s="229"/>
    </row>
    <row r="5" spans="2:5" ht="32.25" customHeight="1" x14ac:dyDescent="0.2">
      <c r="B5" s="832" t="s">
        <v>555</v>
      </c>
      <c r="C5" s="832"/>
      <c r="D5" s="832"/>
      <c r="E5" s="229"/>
    </row>
    <row r="6" spans="2:5" x14ac:dyDescent="0.2">
      <c r="B6" s="230"/>
      <c r="C6" s="229"/>
      <c r="D6" s="229"/>
      <c r="E6" s="229"/>
    </row>
    <row r="7" spans="2:5" ht="29.25" customHeight="1" x14ac:dyDescent="0.2">
      <c r="B7" s="232" t="s">
        <v>200</v>
      </c>
      <c r="C7" s="233" t="s">
        <v>208</v>
      </c>
      <c r="D7" s="234" t="s">
        <v>209</v>
      </c>
      <c r="E7" s="235"/>
    </row>
    <row r="8" spans="2:5" s="67" customFormat="1" x14ac:dyDescent="0.2">
      <c r="B8" s="236">
        <v>1</v>
      </c>
      <c r="C8" s="689" t="s">
        <v>573</v>
      </c>
      <c r="D8" s="688">
        <v>714</v>
      </c>
      <c r="E8" s="237"/>
    </row>
    <row r="9" spans="2:5" s="67" customFormat="1" x14ac:dyDescent="0.2">
      <c r="B9" s="236">
        <v>2</v>
      </c>
      <c r="C9" s="689" t="s">
        <v>574</v>
      </c>
      <c r="D9" s="688">
        <v>3125</v>
      </c>
      <c r="E9" s="237"/>
    </row>
    <row r="10" spans="2:5" s="67" customFormat="1" x14ac:dyDescent="0.2">
      <c r="B10" s="236">
        <v>3</v>
      </c>
      <c r="C10" s="689" t="s">
        <v>575</v>
      </c>
      <c r="D10" s="688">
        <v>1281</v>
      </c>
      <c r="E10" s="237"/>
    </row>
    <row r="11" spans="2:5" s="67" customFormat="1" x14ac:dyDescent="0.2">
      <c r="B11" s="236">
        <v>4</v>
      </c>
      <c r="C11" s="691" t="s">
        <v>576</v>
      </c>
      <c r="D11" s="688">
        <v>2385</v>
      </c>
      <c r="E11" s="237"/>
    </row>
    <row r="12" spans="2:5" s="67" customFormat="1" x14ac:dyDescent="0.2">
      <c r="B12" s="236">
        <v>5</v>
      </c>
      <c r="C12" s="691" t="s">
        <v>577</v>
      </c>
      <c r="D12" s="688">
        <v>1470</v>
      </c>
      <c r="E12" s="237"/>
    </row>
    <row r="13" spans="2:5" s="67" customFormat="1" x14ac:dyDescent="0.2">
      <c r="B13" s="236">
        <v>6</v>
      </c>
      <c r="C13" s="689" t="s">
        <v>578</v>
      </c>
      <c r="D13" s="688">
        <v>2437</v>
      </c>
      <c r="E13" s="237"/>
    </row>
    <row r="14" spans="2:5" s="67" customFormat="1" x14ac:dyDescent="0.2">
      <c r="B14" s="236">
        <v>7</v>
      </c>
      <c r="C14" s="689" t="s">
        <v>579</v>
      </c>
      <c r="D14" s="688">
        <v>2296</v>
      </c>
      <c r="E14" s="237"/>
    </row>
    <row r="15" spans="2:5" s="67" customFormat="1" x14ac:dyDescent="0.2">
      <c r="B15" s="236">
        <v>8</v>
      </c>
      <c r="C15" s="689" t="s">
        <v>580</v>
      </c>
      <c r="D15" s="688">
        <v>189</v>
      </c>
      <c r="E15" s="237"/>
    </row>
    <row r="16" spans="2:5" s="67" customFormat="1" x14ac:dyDescent="0.2">
      <c r="B16" s="236">
        <v>9</v>
      </c>
      <c r="C16" s="689" t="s">
        <v>581</v>
      </c>
      <c r="D16" s="688">
        <v>1738</v>
      </c>
      <c r="E16" s="237"/>
    </row>
    <row r="17" spans="2:6" s="67" customFormat="1" x14ac:dyDescent="0.2">
      <c r="B17" s="236">
        <v>10</v>
      </c>
      <c r="C17" s="689" t="s">
        <v>582</v>
      </c>
      <c r="D17" s="688">
        <v>2379</v>
      </c>
    </row>
    <row r="18" spans="2:6" s="67" customFormat="1" x14ac:dyDescent="0.2">
      <c r="B18" s="236">
        <v>11</v>
      </c>
      <c r="C18" s="689" t="s">
        <v>583</v>
      </c>
      <c r="D18" s="688">
        <v>2099</v>
      </c>
      <c r="F18" s="214"/>
    </row>
    <row r="19" spans="2:6" s="67" customFormat="1" x14ac:dyDescent="0.2">
      <c r="B19" s="236">
        <v>12</v>
      </c>
      <c r="C19" s="687" t="s">
        <v>584</v>
      </c>
      <c r="D19" s="688">
        <v>2853</v>
      </c>
    </row>
    <row r="20" spans="2:6" s="67" customFormat="1" x14ac:dyDescent="0.2">
      <c r="B20" s="236">
        <v>13</v>
      </c>
      <c r="C20" s="689" t="s">
        <v>585</v>
      </c>
      <c r="D20" s="688">
        <v>2905</v>
      </c>
    </row>
    <row r="21" spans="2:6" s="67" customFormat="1" x14ac:dyDescent="0.2">
      <c r="B21" s="236">
        <v>14</v>
      </c>
      <c r="C21" s="689" t="s">
        <v>586</v>
      </c>
      <c r="D21" s="688">
        <v>583</v>
      </c>
    </row>
    <row r="22" spans="2:6" s="67" customFormat="1" x14ac:dyDescent="0.2">
      <c r="B22" s="236">
        <v>15</v>
      </c>
      <c r="C22" s="689" t="s">
        <v>587</v>
      </c>
      <c r="D22" s="688">
        <v>954</v>
      </c>
    </row>
    <row r="23" spans="2:6" s="67" customFormat="1" x14ac:dyDescent="0.2">
      <c r="B23" s="236">
        <v>16</v>
      </c>
      <c r="C23" s="689" t="s">
        <v>588</v>
      </c>
      <c r="D23" s="688">
        <v>2062</v>
      </c>
    </row>
    <row r="24" spans="2:6" s="67" customFormat="1" x14ac:dyDescent="0.2">
      <c r="B24" s="236">
        <v>17</v>
      </c>
      <c r="C24" s="689" t="s">
        <v>589</v>
      </c>
      <c r="D24" s="688">
        <v>1292</v>
      </c>
    </row>
    <row r="25" spans="2:6" s="67" customFormat="1" x14ac:dyDescent="0.2">
      <c r="B25" s="236">
        <v>18</v>
      </c>
      <c r="C25" s="689" t="s">
        <v>590</v>
      </c>
      <c r="D25" s="688">
        <v>1097</v>
      </c>
    </row>
    <row r="26" spans="2:6" s="67" customFormat="1" x14ac:dyDescent="0.2">
      <c r="B26" s="236">
        <v>19</v>
      </c>
      <c r="C26" s="689" t="s">
        <v>591</v>
      </c>
      <c r="D26" s="688">
        <v>483</v>
      </c>
    </row>
    <row r="27" spans="2:6" s="67" customFormat="1" x14ac:dyDescent="0.2">
      <c r="B27" s="236">
        <v>21</v>
      </c>
      <c r="C27" s="692" t="s">
        <v>592</v>
      </c>
      <c r="D27" s="688">
        <v>394</v>
      </c>
    </row>
    <row r="28" spans="2:6" s="67" customFormat="1" x14ac:dyDescent="0.2">
      <c r="B28" s="236">
        <v>22</v>
      </c>
      <c r="C28" s="693" t="s">
        <v>593</v>
      </c>
      <c r="D28" s="694">
        <v>2002</v>
      </c>
    </row>
    <row r="29" spans="2:6" s="67" customFormat="1" x14ac:dyDescent="0.2">
      <c r="B29" s="236">
        <v>23</v>
      </c>
      <c r="C29" s="687" t="s">
        <v>594</v>
      </c>
      <c r="D29" s="690">
        <v>436</v>
      </c>
    </row>
    <row r="30" spans="2:6" s="67" customFormat="1" x14ac:dyDescent="0.2">
      <c r="B30" s="236">
        <v>24</v>
      </c>
      <c r="C30" s="693" t="s">
        <v>595</v>
      </c>
      <c r="D30" s="694">
        <v>550</v>
      </c>
    </row>
    <row r="31" spans="2:6" x14ac:dyDescent="0.2">
      <c r="B31" s="236">
        <v>25</v>
      </c>
      <c r="C31" s="693" t="s">
        <v>596</v>
      </c>
      <c r="D31" s="694">
        <v>1463</v>
      </c>
    </row>
    <row r="32" spans="2:6" x14ac:dyDescent="0.2">
      <c r="B32" s="236">
        <v>26</v>
      </c>
      <c r="C32" s="693" t="s">
        <v>597</v>
      </c>
      <c r="D32" s="694">
        <v>671</v>
      </c>
      <c r="E32" s="237"/>
    </row>
    <row r="33" spans="2:6" ht="15" customHeight="1" x14ac:dyDescent="0.2">
      <c r="B33" s="236">
        <v>27</v>
      </c>
      <c r="C33" s="689" t="s">
        <v>598</v>
      </c>
      <c r="D33" s="694">
        <v>362</v>
      </c>
      <c r="E33" s="237"/>
    </row>
    <row r="34" spans="2:6" ht="18" customHeight="1" x14ac:dyDescent="0.2">
      <c r="B34" s="236">
        <v>28</v>
      </c>
      <c r="C34" s="693" t="s">
        <v>599</v>
      </c>
      <c r="D34" s="694">
        <v>692</v>
      </c>
      <c r="E34" s="237"/>
    </row>
    <row r="35" spans="2:6" x14ac:dyDescent="0.2">
      <c r="B35" s="236">
        <v>29</v>
      </c>
      <c r="C35" s="693" t="s">
        <v>600</v>
      </c>
      <c r="D35" s="694">
        <v>309</v>
      </c>
      <c r="E35" s="237"/>
    </row>
    <row r="36" spans="2:6" x14ac:dyDescent="0.2">
      <c r="B36" s="236">
        <v>30</v>
      </c>
      <c r="C36" s="693" t="s">
        <v>601</v>
      </c>
      <c r="D36" s="694">
        <v>222</v>
      </c>
      <c r="E36" s="237"/>
    </row>
    <row r="37" spans="2:6" x14ac:dyDescent="0.2">
      <c r="B37" s="236">
        <v>31</v>
      </c>
      <c r="C37" s="693" t="s">
        <v>602</v>
      </c>
      <c r="D37" s="694">
        <v>2068</v>
      </c>
      <c r="E37" s="237"/>
    </row>
    <row r="38" spans="2:6" x14ac:dyDescent="0.2">
      <c r="B38" s="236">
        <v>32</v>
      </c>
      <c r="C38" s="693" t="s">
        <v>603</v>
      </c>
      <c r="D38" s="694">
        <v>2433</v>
      </c>
      <c r="E38" s="229"/>
    </row>
    <row r="39" spans="2:6" x14ac:dyDescent="0.2">
      <c r="B39" s="236">
        <v>33</v>
      </c>
      <c r="C39" s="693" t="s">
        <v>604</v>
      </c>
      <c r="D39" s="694">
        <v>701</v>
      </c>
      <c r="E39" s="229"/>
    </row>
    <row r="40" spans="2:6" x14ac:dyDescent="0.2">
      <c r="B40" s="236">
        <v>34</v>
      </c>
      <c r="C40" s="693" t="s">
        <v>605</v>
      </c>
      <c r="D40" s="694">
        <v>221</v>
      </c>
      <c r="E40" s="229"/>
    </row>
    <row r="41" spans="2:6" x14ac:dyDescent="0.2">
      <c r="B41" s="548">
        <v>35</v>
      </c>
      <c r="C41" s="691" t="s">
        <v>606</v>
      </c>
      <c r="D41" s="688">
        <v>497</v>
      </c>
      <c r="E41" s="229"/>
    </row>
    <row r="42" spans="2:6" ht="16.5" thickBot="1" x14ac:dyDescent="0.25">
      <c r="B42" s="238"/>
      <c r="C42" s="239" t="s">
        <v>9</v>
      </c>
      <c r="D42" s="240">
        <f>SUM(D8:D41)</f>
        <v>45363</v>
      </c>
      <c r="E42" s="229"/>
      <c r="F42" s="51"/>
    </row>
    <row r="44" spans="2:6" x14ac:dyDescent="0.2">
      <c r="B44" s="229"/>
      <c r="C44" s="229"/>
      <c r="D44" s="229"/>
      <c r="E44" s="229"/>
    </row>
    <row r="45" spans="2:6" ht="18" x14ac:dyDescent="0.2">
      <c r="B45" s="229"/>
      <c r="C45" s="241"/>
      <c r="D45" s="229"/>
      <c r="E45" s="229"/>
    </row>
  </sheetData>
  <mergeCells count="1">
    <mergeCell ref="B5:D5"/>
  </mergeCells>
  <pageMargins left="0.90551181102362199" right="0.82677165354330728" top="0.74803149606299213" bottom="0.74803149606299213" header="0.31496062992126012" footer="0.31496062992126012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25</vt:i4>
      </vt:variant>
      <vt:variant>
        <vt:lpstr>Pomenované rozsahy</vt:lpstr>
      </vt:variant>
      <vt:variant>
        <vt:i4>25</vt:i4>
      </vt:variant>
    </vt:vector>
  </HeadingPairs>
  <TitlesOfParts>
    <vt:vector size="50" baseType="lpstr">
      <vt:lpstr>Súvahy</vt:lpstr>
      <vt:lpstr>MHSL</vt:lpstr>
      <vt:lpstr>SSMT</vt:lpstr>
      <vt:lpstr>ŠZMT</vt:lpstr>
      <vt:lpstr>Materské_školy</vt:lpstr>
      <vt:lpstr>Základné_školy</vt:lpstr>
      <vt:lpstr>Bežné_dotácie</vt:lpstr>
      <vt:lpstr>Kapitálové_dotácie</vt:lpstr>
      <vt:lpstr>Dotácie_na_šport_1</vt:lpstr>
      <vt:lpstr>Dotácie_na_šport_2</vt:lpstr>
      <vt:lpstr>Dotácie_kultúra</vt:lpstr>
      <vt:lpstr>Dotácie_v_soc_oblasti</vt:lpstr>
      <vt:lpstr>Dotácie_v_oblasti_školstva</vt:lpstr>
      <vt:lpstr>Dotácie_v_oblasti_ŽP</vt:lpstr>
      <vt:lpstr>Pohľadávky</vt:lpstr>
      <vt:lpstr>Prehľad_dlhu</vt:lpstr>
      <vt:lpstr>Vývoj_dlhovej_služby</vt:lpstr>
      <vt:lpstr>BV-funkčná_kl_</vt:lpstr>
      <vt:lpstr>KV-funkčná_kl_</vt:lpstr>
      <vt:lpstr>Výdavky_ek_kl_</vt:lpstr>
      <vt:lpstr>FO_podľa_RK</vt:lpstr>
      <vt:lpstr>Počet_zamest_ZŠ</vt:lpstr>
      <vt:lpstr>Počet_žiakov_a_tried</vt:lpstr>
      <vt:lpstr>Zoznam_org_</vt:lpstr>
      <vt:lpstr>ESA</vt:lpstr>
      <vt:lpstr>Bežné_dotácie!Oblasť_tlače</vt:lpstr>
      <vt:lpstr>'BV-funkčná_kl_'!Oblasť_tlače</vt:lpstr>
      <vt:lpstr>Dotácie_kultúra!Oblasť_tlače</vt:lpstr>
      <vt:lpstr>Dotácie_na_šport_1!Oblasť_tlače</vt:lpstr>
      <vt:lpstr>Dotácie_na_šport_2!Oblasť_tlače</vt:lpstr>
      <vt:lpstr>Dotácie_v_oblasti_školstva!Oblasť_tlače</vt:lpstr>
      <vt:lpstr>Dotácie_v_oblasti_ŽP!Oblasť_tlače</vt:lpstr>
      <vt:lpstr>Dotácie_v_soc_oblasti!Oblasť_tlače</vt:lpstr>
      <vt:lpstr>ESA!Oblasť_tlače</vt:lpstr>
      <vt:lpstr>FO_podľa_RK!Oblasť_tlače</vt:lpstr>
      <vt:lpstr>Kapitálové_dotácie!Oblasť_tlače</vt:lpstr>
      <vt:lpstr>'KV-funkčná_kl_'!Oblasť_tlače</vt:lpstr>
      <vt:lpstr>Materské_školy!Oblasť_tlače</vt:lpstr>
      <vt:lpstr>MHSL!Oblasť_tlače</vt:lpstr>
      <vt:lpstr>Počet_zamest_ZŠ!Oblasť_tlače</vt:lpstr>
      <vt:lpstr>Počet_žiakov_a_tried!Oblasť_tlače</vt:lpstr>
      <vt:lpstr>Pohľadávky!Oblasť_tlače</vt:lpstr>
      <vt:lpstr>Prehľad_dlhu!Oblasť_tlače</vt:lpstr>
      <vt:lpstr>SSMT!Oblasť_tlače</vt:lpstr>
      <vt:lpstr>Súvahy!Oblasť_tlače</vt:lpstr>
      <vt:lpstr>ŠZMT!Oblasť_tlače</vt:lpstr>
      <vt:lpstr>Výdavky_ek_kl_!Oblasť_tlače</vt:lpstr>
      <vt:lpstr>Vývoj_dlhovej_služby!Oblasť_tlače</vt:lpstr>
      <vt:lpstr>Základné_školy!Oblasť_tlače</vt:lpstr>
      <vt:lpstr>Zoznam_org_!Oblasť_tlače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zilkova</dc:creator>
  <cp:lastModifiedBy>Prnová Andrea, Ing.</cp:lastModifiedBy>
  <cp:lastPrinted>2020-05-06T07:06:05Z</cp:lastPrinted>
  <dcterms:created xsi:type="dcterms:W3CDTF">2012-02-23T12:08:44Z</dcterms:created>
  <dcterms:modified xsi:type="dcterms:W3CDTF">2020-05-06T07:13:44Z</dcterms:modified>
</cp:coreProperties>
</file>