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áverečný účet za rok 2018\"/>
    </mc:Choice>
  </mc:AlternateContent>
  <bookViews>
    <workbookView xWindow="0" yWindow="0" windowWidth="19440" windowHeight="11925" tabRatio="849"/>
  </bookViews>
  <sheets>
    <sheet name="Príjmy" sheetId="13" r:id="rId1"/>
    <sheet name="Výdavky" sheetId="43" r:id="rId2"/>
    <sheet name="Sumarizácia" sheetId="15" r:id="rId3"/>
  </sheets>
  <definedNames>
    <definedName name="Data" localSheetId="2">#REF!</definedName>
    <definedName name="Data">#REF!</definedName>
    <definedName name="Gatl">#REF!</definedName>
    <definedName name="_xlnm.Print_Area" localSheetId="0">Príjmy!$B$1:$I$544</definedName>
    <definedName name="_xlnm.Print_Area" localSheetId="2">Sumarizácia!$B$2:$O$54</definedName>
    <definedName name="_xlnm.Print_Area" localSheetId="1">Výdavky!$B$3:$S$1955</definedName>
  </definedNames>
  <calcPr calcId="152511"/>
</workbook>
</file>

<file path=xl/calcChain.xml><?xml version="1.0" encoding="utf-8"?>
<calcChain xmlns="http://schemas.openxmlformats.org/spreadsheetml/2006/main">
  <c r="L54" i="15" l="1"/>
  <c r="L44" i="15"/>
  <c r="L22" i="15"/>
  <c r="H18" i="15"/>
  <c r="L3" i="15"/>
  <c r="H4" i="15"/>
  <c r="D17" i="15"/>
  <c r="D4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 l="1"/>
  <c r="L19" i="15" s="1"/>
  <c r="Q1955" i="43"/>
  <c r="N1955" i="43"/>
  <c r="Q1954" i="43"/>
  <c r="N1954" i="43"/>
  <c r="R1954" i="43" s="1"/>
  <c r="M1953" i="43"/>
  <c r="R1951" i="43"/>
  <c r="Q1951" i="43"/>
  <c r="K1951" i="43"/>
  <c r="R1950" i="43"/>
  <c r="Q1950" i="43"/>
  <c r="K1950" i="43"/>
  <c r="R1949" i="43"/>
  <c r="Q1949" i="43"/>
  <c r="K1949" i="43"/>
  <c r="R1948" i="43"/>
  <c r="Q1948" i="43"/>
  <c r="K1948" i="43"/>
  <c r="J1947" i="43"/>
  <c r="I1947" i="43"/>
  <c r="R1946" i="43"/>
  <c r="Q1946" i="43"/>
  <c r="S1946" i="43" s="1"/>
  <c r="K1946" i="43"/>
  <c r="R1945" i="43"/>
  <c r="S1945" i="43" s="1"/>
  <c r="Q1945" i="43"/>
  <c r="K1945" i="43"/>
  <c r="R1943" i="43"/>
  <c r="Q1943" i="43"/>
  <c r="R1942" i="43"/>
  <c r="M1942" i="43"/>
  <c r="N1941" i="43"/>
  <c r="R1941" i="43" s="1"/>
  <c r="R1940" i="43"/>
  <c r="Q1940" i="43"/>
  <c r="O1940" i="43"/>
  <c r="N1939" i="43"/>
  <c r="M1939" i="43"/>
  <c r="Q1939" i="43" s="1"/>
  <c r="R1937" i="43"/>
  <c r="I1937" i="43"/>
  <c r="J1936" i="43"/>
  <c r="R1936" i="43" s="1"/>
  <c r="R1935" i="43"/>
  <c r="I1935" i="43"/>
  <c r="R1934" i="43"/>
  <c r="Q1934" i="43"/>
  <c r="K1934" i="43"/>
  <c r="J1933" i="43"/>
  <c r="B1930" i="43"/>
  <c r="B1931" i="43" s="1"/>
  <c r="B1932" i="43" s="1"/>
  <c r="B1933" i="43" s="1"/>
  <c r="B1934" i="43" s="1"/>
  <c r="B1935" i="43" s="1"/>
  <c r="B1936" i="43" s="1"/>
  <c r="B1937" i="43" s="1"/>
  <c r="B1938" i="43" s="1"/>
  <c r="B1939" i="43" s="1"/>
  <c r="B1940" i="43" s="1"/>
  <c r="B1941" i="43" s="1"/>
  <c r="B1942" i="43" s="1"/>
  <c r="B1943" i="43" s="1"/>
  <c r="B1944" i="43" s="1"/>
  <c r="B1945" i="43" s="1"/>
  <c r="B1946" i="43" s="1"/>
  <c r="B1947" i="43" s="1"/>
  <c r="B1948" i="43" s="1"/>
  <c r="B1949" i="43" s="1"/>
  <c r="B1950" i="43" s="1"/>
  <c r="B1951" i="43" s="1"/>
  <c r="B1952" i="43" s="1"/>
  <c r="B1953" i="43" s="1"/>
  <c r="B1954" i="43" s="1"/>
  <c r="B1955" i="43" s="1"/>
  <c r="R1920" i="43"/>
  <c r="I1920" i="43"/>
  <c r="Q1920" i="43" s="1"/>
  <c r="R1919" i="43"/>
  <c r="I1919" i="43"/>
  <c r="R1918" i="43"/>
  <c r="I1918" i="43"/>
  <c r="K1918" i="43" s="1"/>
  <c r="R1917" i="43"/>
  <c r="Q1917" i="43"/>
  <c r="K1917" i="43"/>
  <c r="R1916" i="43"/>
  <c r="Q1916" i="43"/>
  <c r="K1916" i="43"/>
  <c r="R1915" i="43"/>
  <c r="Q1915" i="43"/>
  <c r="K1915" i="43"/>
  <c r="R1914" i="43"/>
  <c r="Q1914" i="43"/>
  <c r="K1914" i="43"/>
  <c r="J1913" i="43"/>
  <c r="J1910" i="43" s="1"/>
  <c r="R1910" i="43" s="1"/>
  <c r="R1912" i="43"/>
  <c r="Q1912" i="43"/>
  <c r="K1912" i="43"/>
  <c r="R1911" i="43"/>
  <c r="Q1911" i="43"/>
  <c r="K1911" i="43"/>
  <c r="R1908" i="43"/>
  <c r="Q1908" i="43"/>
  <c r="K1908" i="43"/>
  <c r="R1907" i="43"/>
  <c r="Q1907" i="43"/>
  <c r="K1907" i="43"/>
  <c r="R1906" i="43"/>
  <c r="Q1906" i="43"/>
  <c r="K1906" i="43"/>
  <c r="R1905" i="43"/>
  <c r="Q1905" i="43"/>
  <c r="K1905" i="43"/>
  <c r="J1904" i="43"/>
  <c r="J1901" i="43" s="1"/>
  <c r="I1904" i="43"/>
  <c r="Q1904" i="43" s="1"/>
  <c r="R1903" i="43"/>
  <c r="Q1903" i="43"/>
  <c r="K1903" i="43"/>
  <c r="R1902" i="43"/>
  <c r="Q1902" i="43"/>
  <c r="K1902" i="43"/>
  <c r="R1901" i="43"/>
  <c r="R1899" i="43"/>
  <c r="I1899" i="43"/>
  <c r="J1898" i="43"/>
  <c r="R1898" i="43" s="1"/>
  <c r="R1897" i="43"/>
  <c r="I1897" i="43"/>
  <c r="J1896" i="43"/>
  <c r="R1894" i="43"/>
  <c r="I1894" i="43"/>
  <c r="K1894" i="43" s="1"/>
  <c r="J1893" i="43"/>
  <c r="R1891" i="43"/>
  <c r="Q1891" i="43"/>
  <c r="O1891" i="43"/>
  <c r="N1890" i="43"/>
  <c r="M1890" i="43"/>
  <c r="Q1890" i="43" s="1"/>
  <c r="R1888" i="43"/>
  <c r="I1888" i="43"/>
  <c r="R1887" i="43"/>
  <c r="I1887" i="43"/>
  <c r="R1886" i="43"/>
  <c r="I1886" i="43"/>
  <c r="Q1886" i="43" s="1"/>
  <c r="R1885" i="43"/>
  <c r="Q1885" i="43"/>
  <c r="K1885" i="43"/>
  <c r="R1884" i="43"/>
  <c r="S1884" i="43" s="1"/>
  <c r="Q1884" i="43"/>
  <c r="K1884" i="43"/>
  <c r="J1883" i="43"/>
  <c r="R1883" i="43" s="1"/>
  <c r="R1882" i="43"/>
  <c r="S1882" i="43" s="1"/>
  <c r="Q1882" i="43"/>
  <c r="K1882" i="43"/>
  <c r="R1881" i="43"/>
  <c r="Q1881" i="43"/>
  <c r="K1881" i="43"/>
  <c r="R1878" i="43"/>
  <c r="M1878" i="43"/>
  <c r="O1878" i="43" s="1"/>
  <c r="N1877" i="43"/>
  <c r="R1876" i="43"/>
  <c r="M1876" i="43"/>
  <c r="N1875" i="43"/>
  <c r="R1875" i="43" s="1"/>
  <c r="N1874" i="43"/>
  <c r="R1873" i="43"/>
  <c r="I1873" i="43"/>
  <c r="R1872" i="43"/>
  <c r="Q1872" i="43"/>
  <c r="S1872" i="43" s="1"/>
  <c r="I1872" i="43"/>
  <c r="K1872" i="43" s="1"/>
  <c r="R1871" i="43"/>
  <c r="I1871" i="43"/>
  <c r="R1870" i="43"/>
  <c r="Q1870" i="43"/>
  <c r="K1870" i="43"/>
  <c r="R1869" i="43"/>
  <c r="I1869" i="43"/>
  <c r="K1869" i="43" s="1"/>
  <c r="R1868" i="43"/>
  <c r="I1868" i="43"/>
  <c r="Q1868" i="43" s="1"/>
  <c r="R1867" i="43"/>
  <c r="Q1867" i="43"/>
  <c r="K1867" i="43"/>
  <c r="J1866" i="43"/>
  <c r="R1866" i="43" s="1"/>
  <c r="R1865" i="43"/>
  <c r="Q1865" i="43"/>
  <c r="K1865" i="43"/>
  <c r="R1864" i="43"/>
  <c r="Q1864" i="43"/>
  <c r="K1864" i="43"/>
  <c r="R1862" i="43"/>
  <c r="I1862" i="43"/>
  <c r="K1862" i="43" s="1"/>
  <c r="J1861" i="43"/>
  <c r="R1861" i="43" s="1"/>
  <c r="R1860" i="43"/>
  <c r="Q1860" i="43"/>
  <c r="K1860" i="43"/>
  <c r="J1859" i="43"/>
  <c r="R1859" i="43" s="1"/>
  <c r="I1859" i="43"/>
  <c r="Q1859" i="43" s="1"/>
  <c r="R1858" i="43"/>
  <c r="I1858" i="43"/>
  <c r="R1856" i="43"/>
  <c r="I1856" i="43"/>
  <c r="J1855" i="43"/>
  <c r="R1853" i="43"/>
  <c r="I1853" i="43"/>
  <c r="R1852" i="43"/>
  <c r="I1852" i="43"/>
  <c r="K1852" i="43" s="1"/>
  <c r="R1851" i="43"/>
  <c r="I1851" i="43"/>
  <c r="R1850" i="43"/>
  <c r="I1850" i="43"/>
  <c r="J1849" i="43"/>
  <c r="R1847" i="43"/>
  <c r="Q1847" i="43"/>
  <c r="I1847" i="43"/>
  <c r="K1847" i="43" s="1"/>
  <c r="R1846" i="43"/>
  <c r="I1846" i="43"/>
  <c r="Q1846" i="43" s="1"/>
  <c r="R1845" i="43"/>
  <c r="I1845" i="43"/>
  <c r="R1844" i="43"/>
  <c r="Q1844" i="43"/>
  <c r="K1844" i="43"/>
  <c r="R1843" i="43"/>
  <c r="I1843" i="43"/>
  <c r="R1842" i="43"/>
  <c r="Q1842" i="43"/>
  <c r="K1842" i="43"/>
  <c r="R1841" i="43"/>
  <c r="Q1841" i="43"/>
  <c r="K1841" i="43"/>
  <c r="J1840" i="43"/>
  <c r="R1839" i="43"/>
  <c r="Q1839" i="43"/>
  <c r="K1839" i="43"/>
  <c r="R1838" i="43"/>
  <c r="Q1838" i="43"/>
  <c r="K1838" i="43"/>
  <c r="R1835" i="43"/>
  <c r="Q1835" i="43"/>
  <c r="K1835" i="43"/>
  <c r="R1834" i="43"/>
  <c r="Q1834" i="43"/>
  <c r="K1834" i="43"/>
  <c r="R1833" i="43"/>
  <c r="Q1833" i="43"/>
  <c r="K1833" i="43"/>
  <c r="J1832" i="43"/>
  <c r="R1832" i="43" s="1"/>
  <c r="I1832" i="43"/>
  <c r="I1831" i="43" s="1"/>
  <c r="Q1831" i="43" s="1"/>
  <c r="R1830" i="43"/>
  <c r="I1830" i="43"/>
  <c r="Q1830" i="43" s="1"/>
  <c r="R1829" i="43"/>
  <c r="I1829" i="43"/>
  <c r="K1829" i="43" s="1"/>
  <c r="R1828" i="43"/>
  <c r="I1828" i="43"/>
  <c r="Q1828" i="43" s="1"/>
  <c r="S1828" i="43" s="1"/>
  <c r="J1827" i="43"/>
  <c r="R1827" i="43" s="1"/>
  <c r="R1824" i="43"/>
  <c r="Q1824" i="43"/>
  <c r="K1824" i="43"/>
  <c r="R1823" i="43"/>
  <c r="I1823" i="43"/>
  <c r="K1823" i="43" s="1"/>
  <c r="R1822" i="43"/>
  <c r="Q1822" i="43"/>
  <c r="K1822" i="43"/>
  <c r="R1821" i="43"/>
  <c r="Q1821" i="43"/>
  <c r="K1821" i="43"/>
  <c r="R1820" i="43"/>
  <c r="Q1820" i="43"/>
  <c r="K1820" i="43"/>
  <c r="J1819" i="43"/>
  <c r="R1819" i="43" s="1"/>
  <c r="R1818" i="43"/>
  <c r="Q1818" i="43"/>
  <c r="K1818" i="43"/>
  <c r="R1817" i="43"/>
  <c r="I1817" i="43"/>
  <c r="R1814" i="43"/>
  <c r="M1814" i="43"/>
  <c r="N1813" i="43"/>
  <c r="R1813" i="43" s="1"/>
  <c r="M1813" i="43"/>
  <c r="Q1813" i="43" s="1"/>
  <c r="R1811" i="43"/>
  <c r="Q1811" i="43"/>
  <c r="K1811" i="43"/>
  <c r="R1810" i="43"/>
  <c r="Q1810" i="43"/>
  <c r="K1810" i="43"/>
  <c r="R1809" i="43"/>
  <c r="I1809" i="43"/>
  <c r="R1808" i="43"/>
  <c r="I1808" i="43"/>
  <c r="R1807" i="43"/>
  <c r="Q1807" i="43"/>
  <c r="K1807" i="43"/>
  <c r="J1806" i="43"/>
  <c r="R1806" i="43" s="1"/>
  <c r="R1805" i="43"/>
  <c r="Q1805" i="43"/>
  <c r="K1805" i="43"/>
  <c r="R1804" i="43"/>
  <c r="Q1804" i="43"/>
  <c r="K1804" i="43"/>
  <c r="R1800" i="43"/>
  <c r="Q1800" i="43"/>
  <c r="K1800" i="43"/>
  <c r="R1799" i="43"/>
  <c r="Q1799" i="43"/>
  <c r="K1799" i="43"/>
  <c r="R1798" i="43"/>
  <c r="Q1798" i="43"/>
  <c r="K1798" i="43"/>
  <c r="R1797" i="43"/>
  <c r="Q1797" i="43"/>
  <c r="K1797" i="43"/>
  <c r="R1796" i="43"/>
  <c r="S1796" i="43" s="1"/>
  <c r="Q1796" i="43"/>
  <c r="K1796" i="43"/>
  <c r="R1795" i="43"/>
  <c r="Q1795" i="43"/>
  <c r="K1795" i="43"/>
  <c r="R1794" i="43"/>
  <c r="Q1794" i="43"/>
  <c r="K1794" i="43"/>
  <c r="R1793" i="43"/>
  <c r="Q1793" i="43"/>
  <c r="K1793" i="43"/>
  <c r="R1792" i="43"/>
  <c r="Q1792" i="43"/>
  <c r="K1792" i="43"/>
  <c r="J1791" i="43"/>
  <c r="J1785" i="43" s="1"/>
  <c r="R1785" i="43" s="1"/>
  <c r="I1791" i="43"/>
  <c r="Q1791" i="43" s="1"/>
  <c r="R1790" i="43"/>
  <c r="Q1790" i="43"/>
  <c r="K1790" i="43"/>
  <c r="R1789" i="43"/>
  <c r="I1789" i="43"/>
  <c r="Q1789" i="43" s="1"/>
  <c r="R1788" i="43"/>
  <c r="Q1788" i="43"/>
  <c r="K1788" i="43"/>
  <c r="R1787" i="43"/>
  <c r="Q1787" i="43"/>
  <c r="K1787" i="43"/>
  <c r="R1786" i="43"/>
  <c r="I1786" i="43"/>
  <c r="K1786" i="43" s="1"/>
  <c r="R1782" i="43"/>
  <c r="I1782" i="43"/>
  <c r="Q1782" i="43" s="1"/>
  <c r="J1781" i="43"/>
  <c r="R1781" i="43" s="1"/>
  <c r="R1778" i="43"/>
  <c r="I1778" i="43"/>
  <c r="K1778" i="43" s="1"/>
  <c r="R1777" i="43"/>
  <c r="Q1777" i="43"/>
  <c r="K1777" i="43"/>
  <c r="R1776" i="43"/>
  <c r="I1776" i="43"/>
  <c r="R1775" i="43"/>
  <c r="I1775" i="43"/>
  <c r="R1774" i="43"/>
  <c r="Q1774" i="43"/>
  <c r="K1774" i="43"/>
  <c r="J1773" i="43"/>
  <c r="R1772" i="43"/>
  <c r="Q1772" i="43"/>
  <c r="K1772" i="43"/>
  <c r="R1771" i="43"/>
  <c r="Q1771" i="43"/>
  <c r="K1771" i="43"/>
  <c r="B1768" i="43"/>
  <c r="B1769" i="43" s="1"/>
  <c r="B1770" i="43" s="1"/>
  <c r="B1771" i="43" s="1"/>
  <c r="B1772" i="43" s="1"/>
  <c r="B1773" i="43" s="1"/>
  <c r="B1774" i="43" s="1"/>
  <c r="B1775" i="43" s="1"/>
  <c r="B1776" i="43" s="1"/>
  <c r="B1777" i="43" s="1"/>
  <c r="B1778" i="43" s="1"/>
  <c r="B1779" i="43" s="1"/>
  <c r="B1780" i="43" s="1"/>
  <c r="B1781" i="43" s="1"/>
  <c r="B1782" i="43" s="1"/>
  <c r="B1783" i="43" s="1"/>
  <c r="B1784" i="43" s="1"/>
  <c r="B1785" i="43" s="1"/>
  <c r="B1786" i="43" s="1"/>
  <c r="B1787" i="43" s="1"/>
  <c r="B1788" i="43" s="1"/>
  <c r="B1789" i="43" s="1"/>
  <c r="B1790" i="43" s="1"/>
  <c r="B1791" i="43" s="1"/>
  <c r="B1792" i="43" s="1"/>
  <c r="B1793" i="43" s="1"/>
  <c r="B1794" i="43" s="1"/>
  <c r="B1795" i="43" s="1"/>
  <c r="B1796" i="43" s="1"/>
  <c r="B1797" i="43" s="1"/>
  <c r="B1798" i="43" s="1"/>
  <c r="B1799" i="43" s="1"/>
  <c r="B1800" i="43" s="1"/>
  <c r="B1801" i="43" s="1"/>
  <c r="B1802" i="43" s="1"/>
  <c r="B1803" i="43" s="1"/>
  <c r="B1804" i="43" s="1"/>
  <c r="B1805" i="43" s="1"/>
  <c r="B1806" i="43" s="1"/>
  <c r="B1807" i="43" s="1"/>
  <c r="B1808" i="43" s="1"/>
  <c r="B1809" i="43" s="1"/>
  <c r="B1810" i="43" s="1"/>
  <c r="B1811" i="43" s="1"/>
  <c r="B1812" i="43" s="1"/>
  <c r="B1813" i="43" s="1"/>
  <c r="B1814" i="43" s="1"/>
  <c r="B1815" i="43" s="1"/>
  <c r="B1816" i="43" s="1"/>
  <c r="B1817" i="43" s="1"/>
  <c r="B1818" i="43" s="1"/>
  <c r="B1819" i="43" s="1"/>
  <c r="B1820" i="43" s="1"/>
  <c r="B1821" i="43" s="1"/>
  <c r="B1822" i="43" s="1"/>
  <c r="B1823" i="43" s="1"/>
  <c r="B1824" i="43" s="1"/>
  <c r="B1825" i="43" s="1"/>
  <c r="B1826" i="43" s="1"/>
  <c r="B1827" i="43" s="1"/>
  <c r="B1828" i="43" s="1"/>
  <c r="B1829" i="43" s="1"/>
  <c r="B1830" i="43" s="1"/>
  <c r="B1831" i="43" s="1"/>
  <c r="B1832" i="43" s="1"/>
  <c r="B1833" i="43" s="1"/>
  <c r="B1834" i="43" s="1"/>
  <c r="B1835" i="43" s="1"/>
  <c r="B1836" i="43" s="1"/>
  <c r="B1837" i="43" s="1"/>
  <c r="B1838" i="43" s="1"/>
  <c r="B1839" i="43" s="1"/>
  <c r="B1840" i="43" s="1"/>
  <c r="B1841" i="43" s="1"/>
  <c r="B1842" i="43" s="1"/>
  <c r="B1843" i="43" s="1"/>
  <c r="B1844" i="43" s="1"/>
  <c r="B1845" i="43" s="1"/>
  <c r="B1846" i="43" s="1"/>
  <c r="B1847" i="43" s="1"/>
  <c r="B1848" i="43" s="1"/>
  <c r="B1849" i="43" s="1"/>
  <c r="B1850" i="43" s="1"/>
  <c r="B1851" i="43" s="1"/>
  <c r="B1852" i="43" s="1"/>
  <c r="B1853" i="43" s="1"/>
  <c r="B1854" i="43" s="1"/>
  <c r="B1855" i="43" s="1"/>
  <c r="B1856" i="43" s="1"/>
  <c r="B1857" i="43" s="1"/>
  <c r="B1858" i="43" s="1"/>
  <c r="B1859" i="43" s="1"/>
  <c r="B1860" i="43" s="1"/>
  <c r="B1861" i="43" s="1"/>
  <c r="B1862" i="43" s="1"/>
  <c r="B1863" i="43" s="1"/>
  <c r="B1864" i="43" s="1"/>
  <c r="B1865" i="43" s="1"/>
  <c r="B1866" i="43" s="1"/>
  <c r="B1867" i="43" s="1"/>
  <c r="B1868" i="43" s="1"/>
  <c r="B1869" i="43" s="1"/>
  <c r="B1870" i="43" s="1"/>
  <c r="B1871" i="43" s="1"/>
  <c r="B1872" i="43" s="1"/>
  <c r="B1873" i="43" s="1"/>
  <c r="B1874" i="43" s="1"/>
  <c r="B1875" i="43" s="1"/>
  <c r="B1876" i="43" s="1"/>
  <c r="B1877" i="43" s="1"/>
  <c r="B1878" i="43" s="1"/>
  <c r="B1879" i="43" s="1"/>
  <c r="B1880" i="43" s="1"/>
  <c r="B1881" i="43" s="1"/>
  <c r="B1882" i="43" s="1"/>
  <c r="B1883" i="43" s="1"/>
  <c r="B1884" i="43" s="1"/>
  <c r="B1885" i="43" s="1"/>
  <c r="B1886" i="43" s="1"/>
  <c r="B1887" i="43" s="1"/>
  <c r="B1888" i="43" s="1"/>
  <c r="B1889" i="43" s="1"/>
  <c r="B1890" i="43" s="1"/>
  <c r="B1891" i="43" s="1"/>
  <c r="B1892" i="43" s="1"/>
  <c r="B1893" i="43" s="1"/>
  <c r="B1894" i="43" s="1"/>
  <c r="B1895" i="43" s="1"/>
  <c r="B1896" i="43" s="1"/>
  <c r="B1897" i="43" s="1"/>
  <c r="B1898" i="43" s="1"/>
  <c r="B1899" i="43" s="1"/>
  <c r="B1900" i="43" s="1"/>
  <c r="B1901" i="43" s="1"/>
  <c r="B1902" i="43" s="1"/>
  <c r="B1903" i="43" s="1"/>
  <c r="B1904" i="43" s="1"/>
  <c r="B1905" i="43" s="1"/>
  <c r="B1906" i="43" s="1"/>
  <c r="B1907" i="43" s="1"/>
  <c r="B1908" i="43" s="1"/>
  <c r="B1909" i="43" s="1"/>
  <c r="B1910" i="43" s="1"/>
  <c r="B1911" i="43" s="1"/>
  <c r="B1912" i="43" s="1"/>
  <c r="B1913" i="43" s="1"/>
  <c r="B1914" i="43" s="1"/>
  <c r="B1915" i="43" s="1"/>
  <c r="B1916" i="43" s="1"/>
  <c r="B1917" i="43" s="1"/>
  <c r="B1918" i="43" s="1"/>
  <c r="B1919" i="43" s="1"/>
  <c r="B1920" i="43" s="1"/>
  <c r="R1726" i="43"/>
  <c r="Q1726" i="43"/>
  <c r="O1726" i="43"/>
  <c r="N1725" i="43"/>
  <c r="M1725" i="43"/>
  <c r="Q1725" i="43" s="1"/>
  <c r="R1724" i="43"/>
  <c r="M1724" i="43"/>
  <c r="N1723" i="43"/>
  <c r="R1721" i="43"/>
  <c r="I1721" i="43"/>
  <c r="K1721" i="43" s="1"/>
  <c r="R1720" i="43"/>
  <c r="I1720" i="43"/>
  <c r="Q1720" i="43" s="1"/>
  <c r="R1719" i="43"/>
  <c r="Q1719" i="43"/>
  <c r="K1719" i="43"/>
  <c r="R1718" i="43"/>
  <c r="I1718" i="43"/>
  <c r="K1718" i="43" s="1"/>
  <c r="R1717" i="43"/>
  <c r="I1717" i="43"/>
  <c r="R1716" i="43"/>
  <c r="I1716" i="43"/>
  <c r="K1716" i="43" s="1"/>
  <c r="R1715" i="43"/>
  <c r="Q1715" i="43"/>
  <c r="K1715" i="43"/>
  <c r="J1714" i="43"/>
  <c r="R1714" i="43" s="1"/>
  <c r="R1713" i="43"/>
  <c r="I1713" i="43"/>
  <c r="R1712" i="43"/>
  <c r="I1712" i="43"/>
  <c r="R1709" i="43"/>
  <c r="Q1709" i="43"/>
  <c r="K1709" i="43"/>
  <c r="R1708" i="43"/>
  <c r="Q1708" i="43"/>
  <c r="K1708" i="43"/>
  <c r="R1707" i="43"/>
  <c r="I1707" i="43"/>
  <c r="R1706" i="43"/>
  <c r="Q1706" i="43"/>
  <c r="K1706" i="43"/>
  <c r="J1705" i="43"/>
  <c r="R1702" i="43"/>
  <c r="Q1702" i="43"/>
  <c r="K1702" i="43"/>
  <c r="J1701" i="43"/>
  <c r="R1701" i="43" s="1"/>
  <c r="I1701" i="43"/>
  <c r="R1698" i="43"/>
  <c r="Q1698" i="43"/>
  <c r="K1698" i="43"/>
  <c r="J1697" i="43"/>
  <c r="I1697" i="43"/>
  <c r="I1696" i="43" s="1"/>
  <c r="R1695" i="43"/>
  <c r="Q1695" i="43"/>
  <c r="O1695" i="43"/>
  <c r="R1694" i="43"/>
  <c r="Q1694" i="43"/>
  <c r="O1694" i="43"/>
  <c r="N1693" i="43"/>
  <c r="R1693" i="43" s="1"/>
  <c r="M1693" i="43"/>
  <c r="Q1693" i="43" s="1"/>
  <c r="R1692" i="43"/>
  <c r="Q1692" i="43"/>
  <c r="O1692" i="43"/>
  <c r="N1691" i="43"/>
  <c r="M1691" i="43"/>
  <c r="R1690" i="43"/>
  <c r="Q1690" i="43"/>
  <c r="O1690" i="43"/>
  <c r="N1689" i="43"/>
  <c r="R1689" i="43" s="1"/>
  <c r="M1689" i="43"/>
  <c r="Q1689" i="43" s="1"/>
  <c r="R1687" i="43"/>
  <c r="Q1687" i="43"/>
  <c r="K1687" i="43"/>
  <c r="J1686" i="43"/>
  <c r="I1686" i="43"/>
  <c r="Q1686" i="43" s="1"/>
  <c r="R1685" i="43"/>
  <c r="Q1685" i="43"/>
  <c r="K1685" i="43"/>
  <c r="R1684" i="43"/>
  <c r="Q1684" i="43"/>
  <c r="K1684" i="43"/>
  <c r="J1683" i="43"/>
  <c r="I1683" i="43"/>
  <c r="Q1683" i="43" s="1"/>
  <c r="R1682" i="43"/>
  <c r="Q1682" i="43"/>
  <c r="K1682" i="43"/>
  <c r="K1681" i="43"/>
  <c r="R1680" i="43"/>
  <c r="I1680" i="43"/>
  <c r="K1680" i="43" s="1"/>
  <c r="J1679" i="43"/>
  <c r="I1679" i="43"/>
  <c r="R1677" i="43"/>
  <c r="I1677" i="43"/>
  <c r="R1676" i="43"/>
  <c r="Q1676" i="43"/>
  <c r="K1676" i="43"/>
  <c r="J1675" i="43"/>
  <c r="R1673" i="43"/>
  <c r="Q1673" i="43"/>
  <c r="O1673" i="43"/>
  <c r="N1672" i="43"/>
  <c r="M1672" i="43"/>
  <c r="Q1672" i="43" s="1"/>
  <c r="R1670" i="43"/>
  <c r="Q1670" i="43"/>
  <c r="K1670" i="43"/>
  <c r="J1669" i="43"/>
  <c r="I1669" i="43"/>
  <c r="R1667" i="43"/>
  <c r="M1667" i="43"/>
  <c r="N1666" i="43"/>
  <c r="M1666" i="43"/>
  <c r="Q1666" i="43" s="1"/>
  <c r="R1665" i="43"/>
  <c r="M1665" i="43"/>
  <c r="R1664" i="43"/>
  <c r="M1664" i="43"/>
  <c r="Q1664" i="43" s="1"/>
  <c r="R1662" i="43"/>
  <c r="Q1662" i="43"/>
  <c r="O1662" i="43"/>
  <c r="R1661" i="43"/>
  <c r="Q1661" i="43"/>
  <c r="O1661" i="43"/>
  <c r="R1660" i="43"/>
  <c r="Q1660" i="43"/>
  <c r="O1660" i="43"/>
  <c r="R1659" i="43"/>
  <c r="Q1659" i="43"/>
  <c r="O1659" i="43"/>
  <c r="N1658" i="43"/>
  <c r="M1658" i="43"/>
  <c r="Q1658" i="43" s="1"/>
  <c r="R1656" i="43"/>
  <c r="I1656" i="43"/>
  <c r="K1656" i="43" s="1"/>
  <c r="J1655" i="43"/>
  <c r="R1652" i="43"/>
  <c r="Q1652" i="43"/>
  <c r="O1652" i="43"/>
  <c r="R1651" i="43"/>
  <c r="Q1651" i="43"/>
  <c r="O1651" i="43"/>
  <c r="N1650" i="43"/>
  <c r="R1650" i="43" s="1"/>
  <c r="M1650" i="43"/>
  <c r="R1648" i="43"/>
  <c r="Q1648" i="43"/>
  <c r="K1648" i="43"/>
  <c r="R1647" i="43"/>
  <c r="I1647" i="43"/>
  <c r="K1647" i="43" s="1"/>
  <c r="R1646" i="43"/>
  <c r="Q1646" i="43"/>
  <c r="K1646" i="43"/>
  <c r="R1645" i="43"/>
  <c r="Q1645" i="43"/>
  <c r="K1645" i="43"/>
  <c r="R1644" i="43"/>
  <c r="Q1644" i="43"/>
  <c r="K1644" i="43"/>
  <c r="R1643" i="43"/>
  <c r="Q1643" i="43"/>
  <c r="K1643" i="43"/>
  <c r="R1642" i="43"/>
  <c r="Q1642" i="43"/>
  <c r="K1642" i="43"/>
  <c r="R1641" i="43"/>
  <c r="I1641" i="43"/>
  <c r="Q1641" i="43" s="1"/>
  <c r="I1640" i="43"/>
  <c r="Q1640" i="43" s="1"/>
  <c r="R1639" i="43"/>
  <c r="Q1639" i="43"/>
  <c r="K1639" i="43"/>
  <c r="R1638" i="43"/>
  <c r="I1638" i="43"/>
  <c r="K1638" i="43" s="1"/>
  <c r="R1636" i="43"/>
  <c r="Q1636" i="43"/>
  <c r="K1636" i="43"/>
  <c r="R1635" i="43"/>
  <c r="Q1635" i="43"/>
  <c r="K1635" i="43"/>
  <c r="R1634" i="43"/>
  <c r="Q1634" i="43"/>
  <c r="K1634" i="43"/>
  <c r="J1633" i="43"/>
  <c r="I1633" i="43"/>
  <c r="Q1633" i="43" s="1"/>
  <c r="J1632" i="43"/>
  <c r="R1632" i="43" s="1"/>
  <c r="I1632" i="43"/>
  <c r="Q1632" i="43" s="1"/>
  <c r="Q1631" i="43"/>
  <c r="J1631" i="43"/>
  <c r="R1631" i="43" s="1"/>
  <c r="S1631" i="43" s="1"/>
  <c r="J1630" i="43"/>
  <c r="I1630" i="43"/>
  <c r="J1629" i="43"/>
  <c r="I1629" i="43"/>
  <c r="Q1629" i="43" s="1"/>
  <c r="R1628" i="43"/>
  <c r="Q1628" i="43"/>
  <c r="K1628" i="43"/>
  <c r="Q1626" i="43"/>
  <c r="J1626" i="43"/>
  <c r="R1626" i="43" s="1"/>
  <c r="Q1625" i="43"/>
  <c r="J1625" i="43"/>
  <c r="R1623" i="43"/>
  <c r="Q1623" i="43"/>
  <c r="O1623" i="43"/>
  <c r="N1622" i="43"/>
  <c r="M1622" i="43"/>
  <c r="Q1622" i="43" s="1"/>
  <c r="R1621" i="43"/>
  <c r="Q1621" i="43"/>
  <c r="O1621" i="43"/>
  <c r="R1620" i="43"/>
  <c r="M1620" i="43"/>
  <c r="Q1620" i="43" s="1"/>
  <c r="R1619" i="43"/>
  <c r="Q1619" i="43"/>
  <c r="O1619" i="43"/>
  <c r="N1618" i="43"/>
  <c r="R1616" i="43"/>
  <c r="Q1616" i="43"/>
  <c r="K1616" i="43"/>
  <c r="R1615" i="43"/>
  <c r="Q1615" i="43"/>
  <c r="K1615" i="43"/>
  <c r="J1614" i="43"/>
  <c r="I1614" i="43"/>
  <c r="Q1614" i="43" s="1"/>
  <c r="B1612" i="43"/>
  <c r="B1613" i="43" s="1"/>
  <c r="B1614" i="43" s="1"/>
  <c r="B1615" i="43" s="1"/>
  <c r="B1616" i="43" s="1"/>
  <c r="B1617" i="43" s="1"/>
  <c r="B1618" i="43" s="1"/>
  <c r="B1619" i="43" s="1"/>
  <c r="B1620" i="43" s="1"/>
  <c r="B1621" i="43" s="1"/>
  <c r="B1622" i="43" s="1"/>
  <c r="B1623" i="43" s="1"/>
  <c r="B1624" i="43" s="1"/>
  <c r="B1625" i="43" s="1"/>
  <c r="B1626" i="43" s="1"/>
  <c r="B1627" i="43" s="1"/>
  <c r="B1628" i="43" s="1"/>
  <c r="B1629" i="43" s="1"/>
  <c r="B1630" i="43" s="1"/>
  <c r="B1631" i="43" s="1"/>
  <c r="B1632" i="43" s="1"/>
  <c r="B1633" i="43" s="1"/>
  <c r="B1634" i="43" s="1"/>
  <c r="B1635" i="43" s="1"/>
  <c r="B1636" i="43" s="1"/>
  <c r="B1637" i="43" s="1"/>
  <c r="B1638" i="43" s="1"/>
  <c r="B1639" i="43" s="1"/>
  <c r="B1640" i="43" s="1"/>
  <c r="B1641" i="43" s="1"/>
  <c r="B1642" i="43" s="1"/>
  <c r="B1643" i="43" s="1"/>
  <c r="B1644" i="43" s="1"/>
  <c r="B1645" i="43" s="1"/>
  <c r="B1646" i="43" s="1"/>
  <c r="B1647" i="43" s="1"/>
  <c r="B1648" i="43" s="1"/>
  <c r="B1649" i="43" s="1"/>
  <c r="B1650" i="43" s="1"/>
  <c r="B1651" i="43" s="1"/>
  <c r="B1652" i="43" s="1"/>
  <c r="B1653" i="43" s="1"/>
  <c r="B1654" i="43" s="1"/>
  <c r="B1655" i="43" s="1"/>
  <c r="B1656" i="43" s="1"/>
  <c r="B1657" i="43" s="1"/>
  <c r="B1658" i="43" s="1"/>
  <c r="B1659" i="43" s="1"/>
  <c r="B1660" i="43" s="1"/>
  <c r="B1661" i="43" s="1"/>
  <c r="B1662" i="43" s="1"/>
  <c r="B1663" i="43" s="1"/>
  <c r="B1664" i="43" s="1"/>
  <c r="B1665" i="43" s="1"/>
  <c r="B1666" i="43" s="1"/>
  <c r="B1667" i="43" s="1"/>
  <c r="B1668" i="43" s="1"/>
  <c r="B1669" i="43" s="1"/>
  <c r="B1670" i="43" s="1"/>
  <c r="B1671" i="43" s="1"/>
  <c r="B1672" i="43" s="1"/>
  <c r="B1673" i="43" s="1"/>
  <c r="B1674" i="43" s="1"/>
  <c r="B1675" i="43" s="1"/>
  <c r="B1676" i="43" s="1"/>
  <c r="B1677" i="43" s="1"/>
  <c r="B1678" i="43" s="1"/>
  <c r="B1679" i="43" s="1"/>
  <c r="B1680" i="43" s="1"/>
  <c r="B1681" i="43" s="1"/>
  <c r="B1682" i="43" s="1"/>
  <c r="B1683" i="43" s="1"/>
  <c r="B1684" i="43" s="1"/>
  <c r="B1685" i="43" s="1"/>
  <c r="B1686" i="43" s="1"/>
  <c r="B1687" i="43" s="1"/>
  <c r="B1688" i="43" s="1"/>
  <c r="B1689" i="43" s="1"/>
  <c r="B1690" i="43" s="1"/>
  <c r="B1691" i="43" s="1"/>
  <c r="B1692" i="43" s="1"/>
  <c r="B1693" i="43" s="1"/>
  <c r="B1694" i="43" s="1"/>
  <c r="B1695" i="43" s="1"/>
  <c r="B1696" i="43" s="1"/>
  <c r="B1697" i="43" s="1"/>
  <c r="B1698" i="43" s="1"/>
  <c r="B1699" i="43" s="1"/>
  <c r="B1700" i="43" s="1"/>
  <c r="B1701" i="43" s="1"/>
  <c r="B1702" i="43" s="1"/>
  <c r="B1703" i="43" s="1"/>
  <c r="B1704" i="43" s="1"/>
  <c r="B1705" i="43" s="1"/>
  <c r="B1706" i="43" s="1"/>
  <c r="B1707" i="43" s="1"/>
  <c r="B1708" i="43" s="1"/>
  <c r="B1709" i="43" s="1"/>
  <c r="B1710" i="43" s="1"/>
  <c r="B1711" i="43" s="1"/>
  <c r="B1712" i="43" s="1"/>
  <c r="B1713" i="43" s="1"/>
  <c r="B1714" i="43" s="1"/>
  <c r="B1715" i="43" s="1"/>
  <c r="B1716" i="43" s="1"/>
  <c r="B1717" i="43" s="1"/>
  <c r="B1718" i="43" s="1"/>
  <c r="B1719" i="43" s="1"/>
  <c r="B1720" i="43" s="1"/>
  <c r="B1721" i="43" s="1"/>
  <c r="B1722" i="43" s="1"/>
  <c r="B1723" i="43" s="1"/>
  <c r="B1724" i="43" s="1"/>
  <c r="B1725" i="43" s="1"/>
  <c r="B1726" i="43" s="1"/>
  <c r="R1559" i="43"/>
  <c r="Q1559" i="43"/>
  <c r="O1559" i="43"/>
  <c r="N1558" i="43"/>
  <c r="M1558" i="43"/>
  <c r="R1556" i="43"/>
  <c r="Q1556" i="43"/>
  <c r="K1556" i="43"/>
  <c r="J1555" i="43"/>
  <c r="I1555" i="43"/>
  <c r="I1554" i="43" s="1"/>
  <c r="Q1554" i="43" s="1"/>
  <c r="R1553" i="43"/>
  <c r="Q1553" i="43"/>
  <c r="O1553" i="43"/>
  <c r="R1552" i="43"/>
  <c r="M1552" i="43"/>
  <c r="Q1552" i="43" s="1"/>
  <c r="N1551" i="43"/>
  <c r="R1550" i="43"/>
  <c r="Q1550" i="43"/>
  <c r="O1550" i="43"/>
  <c r="N1549" i="43"/>
  <c r="R1549" i="43" s="1"/>
  <c r="M1549" i="43"/>
  <c r="Q1549" i="43" s="1"/>
  <c r="R1547" i="43"/>
  <c r="I1547" i="43"/>
  <c r="R1546" i="43"/>
  <c r="Q1546" i="43"/>
  <c r="K1546" i="43"/>
  <c r="R1545" i="43"/>
  <c r="I1545" i="43"/>
  <c r="R1544" i="43"/>
  <c r="I1544" i="43"/>
  <c r="J1543" i="43"/>
  <c r="R1542" i="43"/>
  <c r="I1542" i="43"/>
  <c r="Q1542" i="43" s="1"/>
  <c r="R1540" i="43"/>
  <c r="I1540" i="43"/>
  <c r="Q1540" i="43" s="1"/>
  <c r="R1539" i="43"/>
  <c r="I1539" i="43"/>
  <c r="R1538" i="43"/>
  <c r="I1538" i="43"/>
  <c r="Q1538" i="43" s="1"/>
  <c r="J1537" i="43"/>
  <c r="R1535" i="43"/>
  <c r="Q1535" i="43"/>
  <c r="K1535" i="43"/>
  <c r="R1534" i="43"/>
  <c r="Q1534" i="43"/>
  <c r="K1534" i="43"/>
  <c r="R1533" i="43"/>
  <c r="Q1533" i="43"/>
  <c r="K1533" i="43"/>
  <c r="R1532" i="43"/>
  <c r="Q1532" i="43"/>
  <c r="K1532" i="43"/>
  <c r="R1531" i="43"/>
  <c r="Q1531" i="43"/>
  <c r="K1531" i="43"/>
  <c r="R1530" i="43"/>
  <c r="Q1530" i="43"/>
  <c r="K1530" i="43"/>
  <c r="R1529" i="43"/>
  <c r="Q1529" i="43"/>
  <c r="K1529" i="43"/>
  <c r="R1528" i="43"/>
  <c r="Q1528" i="43"/>
  <c r="K1528" i="43"/>
  <c r="R1527" i="43"/>
  <c r="I1527" i="43"/>
  <c r="Q1527" i="43" s="1"/>
  <c r="R1526" i="43"/>
  <c r="Q1526" i="43"/>
  <c r="K1526" i="43"/>
  <c r="R1525" i="43"/>
  <c r="Q1525" i="43"/>
  <c r="K1525" i="43"/>
  <c r="R1524" i="43"/>
  <c r="Q1524" i="43"/>
  <c r="K1524" i="43"/>
  <c r="R1523" i="43"/>
  <c r="Q1523" i="43"/>
  <c r="K1523" i="43"/>
  <c r="R1522" i="43"/>
  <c r="I1522" i="43"/>
  <c r="R1521" i="43"/>
  <c r="Q1521" i="43"/>
  <c r="K1521" i="43"/>
  <c r="R1520" i="43"/>
  <c r="Q1520" i="43"/>
  <c r="K1520" i="43"/>
  <c r="R1519" i="43"/>
  <c r="Q1519" i="43"/>
  <c r="K1519" i="43"/>
  <c r="R1518" i="43"/>
  <c r="Q1518" i="43"/>
  <c r="K1518" i="43"/>
  <c r="R1517" i="43"/>
  <c r="Q1517" i="43"/>
  <c r="K1517" i="43"/>
  <c r="R1516" i="43"/>
  <c r="I1516" i="43"/>
  <c r="Q1516" i="43" s="1"/>
  <c r="J1515" i="43"/>
  <c r="R1515" i="43" s="1"/>
  <c r="B1513" i="43"/>
  <c r="B1514" i="43" s="1"/>
  <c r="B1515" i="43" s="1"/>
  <c r="B1516" i="43" s="1"/>
  <c r="B1517" i="43" s="1"/>
  <c r="B1518" i="43" s="1"/>
  <c r="B1519" i="43" s="1"/>
  <c r="B1520" i="43" s="1"/>
  <c r="B1521" i="43" s="1"/>
  <c r="B1522" i="43" s="1"/>
  <c r="B1523" i="43" s="1"/>
  <c r="B1524" i="43" s="1"/>
  <c r="B1525" i="43" s="1"/>
  <c r="B1526" i="43" s="1"/>
  <c r="B1527" i="43" s="1"/>
  <c r="B1528" i="43" s="1"/>
  <c r="B1529" i="43" s="1"/>
  <c r="B1530" i="43" s="1"/>
  <c r="B1531" i="43" s="1"/>
  <c r="B1532" i="43" s="1"/>
  <c r="B1533" i="43" s="1"/>
  <c r="B1534" i="43" s="1"/>
  <c r="B1535" i="43" s="1"/>
  <c r="B1536" i="43" s="1"/>
  <c r="B1537" i="43" s="1"/>
  <c r="B1538" i="43" s="1"/>
  <c r="B1539" i="43" s="1"/>
  <c r="B1540" i="43" s="1"/>
  <c r="B1541" i="43" s="1"/>
  <c r="B1542" i="43" s="1"/>
  <c r="B1543" i="43" s="1"/>
  <c r="B1544" i="43" s="1"/>
  <c r="B1545" i="43" s="1"/>
  <c r="B1546" i="43" s="1"/>
  <c r="B1547" i="43" s="1"/>
  <c r="B1548" i="43" s="1"/>
  <c r="B1549" i="43" s="1"/>
  <c r="B1550" i="43" s="1"/>
  <c r="B1551" i="43" s="1"/>
  <c r="B1552" i="43" s="1"/>
  <c r="B1553" i="43" s="1"/>
  <c r="B1554" i="43" s="1"/>
  <c r="B1555" i="43" s="1"/>
  <c r="B1556" i="43" s="1"/>
  <c r="B1557" i="43" s="1"/>
  <c r="B1558" i="43" s="1"/>
  <c r="B1559" i="43" s="1"/>
  <c r="R1487" i="43"/>
  <c r="M1487" i="43"/>
  <c r="N1486" i="43"/>
  <c r="R1486" i="43" s="1"/>
  <c r="R1484" i="43"/>
  <c r="Q1484" i="43"/>
  <c r="K1484" i="43"/>
  <c r="R1483" i="43"/>
  <c r="Q1483" i="43"/>
  <c r="K1483" i="43"/>
  <c r="R1482" i="43"/>
  <c r="I1482" i="43"/>
  <c r="Q1482" i="43" s="1"/>
  <c r="R1481" i="43"/>
  <c r="Q1481" i="43"/>
  <c r="K1481" i="43"/>
  <c r="R1480" i="43"/>
  <c r="Q1480" i="43"/>
  <c r="K1480" i="43"/>
  <c r="J1479" i="43"/>
  <c r="J1475" i="43" s="1"/>
  <c r="J1472" i="43" s="1"/>
  <c r="J1453" i="43" s="1"/>
  <c r="I1479" i="43"/>
  <c r="R1478" i="43"/>
  <c r="Q1478" i="43"/>
  <c r="K1478" i="43"/>
  <c r="R1477" i="43"/>
  <c r="I1477" i="43"/>
  <c r="Q1477" i="43" s="1"/>
  <c r="R1476" i="43"/>
  <c r="Q1476" i="43"/>
  <c r="K1476" i="43"/>
  <c r="R1474" i="43"/>
  <c r="Q1474" i="43"/>
  <c r="K1474" i="43"/>
  <c r="R1473" i="43"/>
  <c r="Q1473" i="43"/>
  <c r="K1473" i="43"/>
  <c r="R1471" i="43"/>
  <c r="Q1471" i="43"/>
  <c r="O1471" i="43"/>
  <c r="R1470" i="43"/>
  <c r="Q1470" i="43"/>
  <c r="O1470" i="43"/>
  <c r="R1469" i="43"/>
  <c r="Q1469" i="43"/>
  <c r="O1469" i="43"/>
  <c r="N1468" i="43"/>
  <c r="M1468" i="43"/>
  <c r="Q1468" i="43" s="1"/>
  <c r="Q1467" i="43"/>
  <c r="N1467" i="43"/>
  <c r="R1466" i="43"/>
  <c r="Q1466" i="43"/>
  <c r="O1466" i="43"/>
  <c r="Q1465" i="43"/>
  <c r="N1465" i="43"/>
  <c r="R1464" i="43"/>
  <c r="Q1464" i="43"/>
  <c r="O1464" i="43"/>
  <c r="R1463" i="43"/>
  <c r="Q1463" i="43"/>
  <c r="O1463" i="43"/>
  <c r="R1462" i="43"/>
  <c r="M1462" i="43"/>
  <c r="R1460" i="43"/>
  <c r="Q1460" i="43"/>
  <c r="O1460" i="43"/>
  <c r="R1459" i="43"/>
  <c r="M1459" i="43"/>
  <c r="R1458" i="43"/>
  <c r="Q1458" i="43"/>
  <c r="O1458" i="43"/>
  <c r="R1457" i="43"/>
  <c r="M1457" i="43"/>
  <c r="Q1457" i="43" s="1"/>
  <c r="R1456" i="43"/>
  <c r="Q1456" i="43"/>
  <c r="O1456" i="43"/>
  <c r="N1455" i="43"/>
  <c r="R1452" i="43"/>
  <c r="Q1452" i="43"/>
  <c r="K1452" i="43"/>
  <c r="R1451" i="43"/>
  <c r="I1451" i="43"/>
  <c r="R1450" i="43"/>
  <c r="Q1450" i="43"/>
  <c r="K1450" i="43"/>
  <c r="R1449" i="43"/>
  <c r="Q1449" i="43"/>
  <c r="K1449" i="43"/>
  <c r="R1448" i="43"/>
  <c r="Q1448" i="43"/>
  <c r="K1448" i="43"/>
  <c r="J1447" i="43"/>
  <c r="R1446" i="43"/>
  <c r="Q1446" i="43"/>
  <c r="K1446" i="43"/>
  <c r="R1445" i="43"/>
  <c r="Q1445" i="43"/>
  <c r="K1445" i="43"/>
  <c r="R1442" i="43"/>
  <c r="M1442" i="43"/>
  <c r="R1441" i="43"/>
  <c r="Q1441" i="43"/>
  <c r="O1441" i="43"/>
  <c r="N1440" i="43"/>
  <c r="R1438" i="43"/>
  <c r="Q1438" i="43"/>
  <c r="K1438" i="43"/>
  <c r="J1437" i="43"/>
  <c r="R1437" i="43" s="1"/>
  <c r="I1437" i="43"/>
  <c r="Q1437" i="43" s="1"/>
  <c r="J1436" i="43"/>
  <c r="I1436" i="43"/>
  <c r="Q1435" i="43"/>
  <c r="J1435" i="43"/>
  <c r="R1435" i="43" s="1"/>
  <c r="Q1434" i="43"/>
  <c r="J1434" i="43"/>
  <c r="R1434" i="43" s="1"/>
  <c r="Q1432" i="43"/>
  <c r="J1432" i="43"/>
  <c r="K1432" i="43" s="1"/>
  <c r="R1431" i="43"/>
  <c r="Q1431" i="43"/>
  <c r="K1431" i="43"/>
  <c r="N1429" i="43"/>
  <c r="R1429" i="43" s="1"/>
  <c r="M1429" i="43"/>
  <c r="N1428" i="43"/>
  <c r="M1428" i="43"/>
  <c r="Q1428" i="43" s="1"/>
  <c r="R1426" i="43"/>
  <c r="Q1426" i="43"/>
  <c r="O1426" i="43"/>
  <c r="N1425" i="43"/>
  <c r="M1425" i="43"/>
  <c r="R1422" i="43"/>
  <c r="I1422" i="43"/>
  <c r="Q1422" i="43" s="1"/>
  <c r="R1421" i="43"/>
  <c r="I1421" i="43"/>
  <c r="Q1421" i="43" s="1"/>
  <c r="R1420" i="43"/>
  <c r="I1420" i="43"/>
  <c r="Q1420" i="43" s="1"/>
  <c r="R1419" i="43"/>
  <c r="I1419" i="43"/>
  <c r="R1418" i="43"/>
  <c r="I1418" i="43"/>
  <c r="R1417" i="43"/>
  <c r="Q1417" i="43"/>
  <c r="K1417" i="43"/>
  <c r="J1416" i="43"/>
  <c r="R1415" i="43"/>
  <c r="I1415" i="43"/>
  <c r="R1414" i="43"/>
  <c r="I1414" i="43"/>
  <c r="Q1414" i="43" s="1"/>
  <c r="R1412" i="43"/>
  <c r="M1412" i="43"/>
  <c r="N1411" i="43"/>
  <c r="R1411" i="43" s="1"/>
  <c r="R1410" i="43"/>
  <c r="M1410" i="43"/>
  <c r="N1409" i="43"/>
  <c r="R1409" i="43" s="1"/>
  <c r="R1407" i="43"/>
  <c r="Q1407" i="43"/>
  <c r="K1407" i="43"/>
  <c r="J1406" i="43"/>
  <c r="R1406" i="43" s="1"/>
  <c r="I1406" i="43"/>
  <c r="Q1406" i="43" s="1"/>
  <c r="R1404" i="43"/>
  <c r="M1404" i="43"/>
  <c r="Q1404" i="43" s="1"/>
  <c r="R1403" i="43"/>
  <c r="Q1403" i="43"/>
  <c r="O1403" i="43"/>
  <c r="N1402" i="43"/>
  <c r="R1401" i="43"/>
  <c r="Q1401" i="43"/>
  <c r="K1401" i="43"/>
  <c r="R1400" i="43"/>
  <c r="Q1400" i="43"/>
  <c r="K1400" i="43"/>
  <c r="R1399" i="43"/>
  <c r="I1399" i="43"/>
  <c r="Q1399" i="43" s="1"/>
  <c r="J1398" i="43"/>
  <c r="R1396" i="43"/>
  <c r="Q1396" i="43"/>
  <c r="K1396" i="43"/>
  <c r="R1395" i="43"/>
  <c r="Q1395" i="43"/>
  <c r="K1395" i="43"/>
  <c r="J1394" i="43"/>
  <c r="I1394" i="43"/>
  <c r="Q1394" i="43" s="1"/>
  <c r="R1391" i="43"/>
  <c r="Q1391" i="43"/>
  <c r="O1391" i="43"/>
  <c r="N1390" i="43"/>
  <c r="N1371" i="43" s="1"/>
  <c r="M1390" i="43"/>
  <c r="R1389" i="43"/>
  <c r="Q1389" i="43"/>
  <c r="K1389" i="43"/>
  <c r="R1388" i="43"/>
  <c r="Q1388" i="43"/>
  <c r="K1388" i="43"/>
  <c r="R1387" i="43"/>
  <c r="Q1387" i="43"/>
  <c r="K1387" i="43"/>
  <c r="R1386" i="43"/>
  <c r="Q1386" i="43"/>
  <c r="K1386" i="43"/>
  <c r="R1385" i="43"/>
  <c r="Q1385" i="43"/>
  <c r="K1385" i="43"/>
  <c r="R1384" i="43"/>
  <c r="Q1384" i="43"/>
  <c r="K1384" i="43"/>
  <c r="R1383" i="43"/>
  <c r="Q1383" i="43"/>
  <c r="K1383" i="43"/>
  <c r="R1382" i="43"/>
  <c r="Q1382" i="43"/>
  <c r="K1382" i="43"/>
  <c r="R1381" i="43"/>
  <c r="Q1381" i="43"/>
  <c r="K1381" i="43"/>
  <c r="R1380" i="43"/>
  <c r="Q1380" i="43"/>
  <c r="K1380" i="43"/>
  <c r="R1379" i="43"/>
  <c r="Q1379" i="43"/>
  <c r="K1379" i="43"/>
  <c r="R1378" i="43"/>
  <c r="I1378" i="43"/>
  <c r="Q1378" i="43" s="1"/>
  <c r="R1377" i="43"/>
  <c r="Q1377" i="43"/>
  <c r="K1377" i="43"/>
  <c r="R1376" i="43"/>
  <c r="Q1376" i="43"/>
  <c r="K1376" i="43"/>
  <c r="R1375" i="43"/>
  <c r="Q1375" i="43"/>
  <c r="K1375" i="43"/>
  <c r="R1374" i="43"/>
  <c r="Q1374" i="43"/>
  <c r="K1374" i="43"/>
  <c r="R1373" i="43"/>
  <c r="Q1373" i="43"/>
  <c r="K1373" i="43"/>
  <c r="J1372" i="43"/>
  <c r="J1371" i="43" s="1"/>
  <c r="R1370" i="43"/>
  <c r="Q1370" i="43"/>
  <c r="K1370" i="43"/>
  <c r="R1369" i="43"/>
  <c r="Q1369" i="43"/>
  <c r="K1369" i="43"/>
  <c r="J1368" i="43"/>
  <c r="I1368" i="43"/>
  <c r="B1366" i="43"/>
  <c r="B1367" i="43" s="1"/>
  <c r="B1368" i="43" s="1"/>
  <c r="B1369" i="43" s="1"/>
  <c r="B1370" i="43" s="1"/>
  <c r="B1371" i="43" s="1"/>
  <c r="B1372" i="43" s="1"/>
  <c r="B1373" i="43" s="1"/>
  <c r="B1374" i="43" s="1"/>
  <c r="B1375" i="43" s="1"/>
  <c r="B1376" i="43" s="1"/>
  <c r="B1377" i="43" s="1"/>
  <c r="B1378" i="43" s="1"/>
  <c r="B1379" i="43" s="1"/>
  <c r="B1380" i="43" s="1"/>
  <c r="B1381" i="43" s="1"/>
  <c r="B1382" i="43" s="1"/>
  <c r="B1383" i="43" s="1"/>
  <c r="B1384" i="43" s="1"/>
  <c r="B1385" i="43" s="1"/>
  <c r="B1386" i="43" s="1"/>
  <c r="B1387" i="43" s="1"/>
  <c r="B1388" i="43" s="1"/>
  <c r="B1389" i="43" s="1"/>
  <c r="B1390" i="43" s="1"/>
  <c r="B1391" i="43" s="1"/>
  <c r="B1392" i="43" s="1"/>
  <c r="B1393" i="43" s="1"/>
  <c r="B1394" i="43" s="1"/>
  <c r="B1395" i="43" s="1"/>
  <c r="B1396" i="43" s="1"/>
  <c r="B1397" i="43" s="1"/>
  <c r="B1398" i="43" s="1"/>
  <c r="B1399" i="43" s="1"/>
  <c r="B1400" i="43" s="1"/>
  <c r="B1401" i="43" s="1"/>
  <c r="B1402" i="43" s="1"/>
  <c r="B1403" i="43" s="1"/>
  <c r="B1404" i="43" s="1"/>
  <c r="B1405" i="43" s="1"/>
  <c r="B1406" i="43" s="1"/>
  <c r="B1407" i="43" s="1"/>
  <c r="B1408" i="43" s="1"/>
  <c r="B1409" i="43" s="1"/>
  <c r="B1410" i="43" s="1"/>
  <c r="B1411" i="43" s="1"/>
  <c r="B1412" i="43" s="1"/>
  <c r="B1413" i="43" s="1"/>
  <c r="B1414" i="43" s="1"/>
  <c r="B1415" i="43" s="1"/>
  <c r="B1416" i="43" s="1"/>
  <c r="B1417" i="43" s="1"/>
  <c r="B1418" i="43" s="1"/>
  <c r="B1419" i="43" s="1"/>
  <c r="B1420" i="43" s="1"/>
  <c r="B1421" i="43" s="1"/>
  <c r="B1422" i="43" s="1"/>
  <c r="B1423" i="43" s="1"/>
  <c r="B1424" i="43" s="1"/>
  <c r="B1425" i="43" s="1"/>
  <c r="B1426" i="43" s="1"/>
  <c r="B1427" i="43" s="1"/>
  <c r="B1428" i="43" s="1"/>
  <c r="B1429" i="43" s="1"/>
  <c r="B1430" i="43" s="1"/>
  <c r="B1431" i="43" s="1"/>
  <c r="B1432" i="43" s="1"/>
  <c r="B1433" i="43" s="1"/>
  <c r="B1434" i="43" s="1"/>
  <c r="B1435" i="43" s="1"/>
  <c r="B1436" i="43" s="1"/>
  <c r="B1437" i="43" s="1"/>
  <c r="B1438" i="43" s="1"/>
  <c r="B1439" i="43" s="1"/>
  <c r="B1440" i="43" s="1"/>
  <c r="B1441" i="43" s="1"/>
  <c r="B1442" i="43" s="1"/>
  <c r="B1443" i="43" s="1"/>
  <c r="B1444" i="43" s="1"/>
  <c r="B1445" i="43" s="1"/>
  <c r="B1446" i="43" s="1"/>
  <c r="B1447" i="43" s="1"/>
  <c r="B1448" i="43" s="1"/>
  <c r="B1449" i="43" s="1"/>
  <c r="B1450" i="43" s="1"/>
  <c r="B1451" i="43" s="1"/>
  <c r="B1452" i="43" s="1"/>
  <c r="B1453" i="43" s="1"/>
  <c r="B1454" i="43" s="1"/>
  <c r="B1455" i="43" s="1"/>
  <c r="B1456" i="43" s="1"/>
  <c r="B1457" i="43" s="1"/>
  <c r="B1458" i="43" s="1"/>
  <c r="B1459" i="43" s="1"/>
  <c r="B1460" i="43" s="1"/>
  <c r="B1461" i="43" s="1"/>
  <c r="B1462" i="43" s="1"/>
  <c r="B1463" i="43" s="1"/>
  <c r="B1464" i="43" s="1"/>
  <c r="B1465" i="43" s="1"/>
  <c r="B1466" i="43" s="1"/>
  <c r="B1467" i="43" s="1"/>
  <c r="B1468" i="43" s="1"/>
  <c r="B1469" i="43" s="1"/>
  <c r="B1470" i="43" s="1"/>
  <c r="B1471" i="43" s="1"/>
  <c r="B1472" i="43" s="1"/>
  <c r="B1473" i="43" s="1"/>
  <c r="B1474" i="43" s="1"/>
  <c r="B1475" i="43" s="1"/>
  <c r="B1476" i="43" s="1"/>
  <c r="B1477" i="43" s="1"/>
  <c r="B1478" i="43" s="1"/>
  <c r="B1479" i="43" s="1"/>
  <c r="B1480" i="43" s="1"/>
  <c r="B1481" i="43" s="1"/>
  <c r="B1482" i="43" s="1"/>
  <c r="B1483" i="43" s="1"/>
  <c r="B1484" i="43" s="1"/>
  <c r="B1485" i="43" s="1"/>
  <c r="B1486" i="43" s="1"/>
  <c r="B1487" i="43" s="1"/>
  <c r="R1354" i="43"/>
  <c r="Q1354" i="43"/>
  <c r="K1354" i="43"/>
  <c r="R1353" i="43"/>
  <c r="I1353" i="43"/>
  <c r="K1353" i="43" s="1"/>
  <c r="R1352" i="43"/>
  <c r="Q1352" i="43"/>
  <c r="K1352" i="43"/>
  <c r="R1351" i="43"/>
  <c r="I1351" i="43"/>
  <c r="K1351" i="43" s="1"/>
  <c r="R1350" i="43"/>
  <c r="I1350" i="43"/>
  <c r="R1349" i="43"/>
  <c r="Q1349" i="43"/>
  <c r="K1349" i="43"/>
  <c r="R1348" i="43"/>
  <c r="I1348" i="43"/>
  <c r="K1348" i="43" s="1"/>
  <c r="R1347" i="43"/>
  <c r="Q1347" i="43"/>
  <c r="K1347" i="43"/>
  <c r="J1346" i="43"/>
  <c r="R1346" i="43" s="1"/>
  <c r="R1345" i="43"/>
  <c r="Q1345" i="43"/>
  <c r="K1345" i="43"/>
  <c r="R1344" i="43"/>
  <c r="I1344" i="43"/>
  <c r="R1342" i="43"/>
  <c r="I1342" i="43"/>
  <c r="Q1341" i="43"/>
  <c r="J1341" i="43"/>
  <c r="Q1340" i="43"/>
  <c r="J1340" i="43"/>
  <c r="Q1339" i="43"/>
  <c r="J1339" i="43"/>
  <c r="K1339" i="43" s="1"/>
  <c r="J1338" i="43"/>
  <c r="R1338" i="43" s="1"/>
  <c r="I1338" i="43"/>
  <c r="R1337" i="43"/>
  <c r="I1337" i="43"/>
  <c r="Q1337" i="43" s="1"/>
  <c r="R1336" i="43"/>
  <c r="Q1336" i="43"/>
  <c r="K1336" i="43"/>
  <c r="R1334" i="43"/>
  <c r="I1334" i="43"/>
  <c r="R1333" i="43"/>
  <c r="I1333" i="43"/>
  <c r="K1333" i="43" s="1"/>
  <c r="R1331" i="43"/>
  <c r="Q1331" i="43"/>
  <c r="K1331" i="43"/>
  <c r="J1330" i="43"/>
  <c r="I1330" i="43"/>
  <c r="Q1330" i="43" s="1"/>
  <c r="R1329" i="43"/>
  <c r="Q1329" i="43"/>
  <c r="K1329" i="43"/>
  <c r="J1328" i="43"/>
  <c r="I1328" i="43"/>
  <c r="R1325" i="43"/>
  <c r="I1325" i="43"/>
  <c r="Q1325" i="43" s="1"/>
  <c r="R1324" i="43"/>
  <c r="I1324" i="43"/>
  <c r="K1324" i="43" s="1"/>
  <c r="R1323" i="43"/>
  <c r="I1323" i="43"/>
  <c r="Q1323" i="43" s="1"/>
  <c r="R1322" i="43"/>
  <c r="I1322" i="43"/>
  <c r="R1321" i="43"/>
  <c r="I1321" i="43"/>
  <c r="J1320" i="43"/>
  <c r="R1320" i="43" s="1"/>
  <c r="R1319" i="43"/>
  <c r="Q1319" i="43"/>
  <c r="K1319" i="43"/>
  <c r="R1318" i="43"/>
  <c r="I1318" i="43"/>
  <c r="R1317" i="43"/>
  <c r="I1317" i="43"/>
  <c r="R1316" i="43"/>
  <c r="Q1316" i="43"/>
  <c r="K1316" i="43"/>
  <c r="R1315" i="43"/>
  <c r="I1315" i="43"/>
  <c r="Q1315" i="43" s="1"/>
  <c r="R1314" i="43"/>
  <c r="I1314" i="43"/>
  <c r="K1314" i="43" s="1"/>
  <c r="J1313" i="43"/>
  <c r="R1312" i="43"/>
  <c r="Q1312" i="43"/>
  <c r="K1312" i="43"/>
  <c r="R1311" i="43"/>
  <c r="I1311" i="43"/>
  <c r="Q1311" i="43" s="1"/>
  <c r="R1309" i="43"/>
  <c r="Q1309" i="43"/>
  <c r="O1309" i="43"/>
  <c r="N1308" i="43"/>
  <c r="R1308" i="43" s="1"/>
  <c r="M1308" i="43"/>
  <c r="R1306" i="43"/>
  <c r="I1306" i="43"/>
  <c r="Q1306" i="43" s="1"/>
  <c r="R1305" i="43"/>
  <c r="I1305" i="43"/>
  <c r="R1304" i="43"/>
  <c r="Q1304" i="43"/>
  <c r="K1304" i="43"/>
  <c r="R1303" i="43"/>
  <c r="I1303" i="43"/>
  <c r="R1302" i="43"/>
  <c r="Q1302" i="43"/>
  <c r="K1302" i="43"/>
  <c r="R1301" i="43"/>
  <c r="Q1301" i="43"/>
  <c r="K1301" i="43"/>
  <c r="J1300" i="43"/>
  <c r="R1300" i="43" s="1"/>
  <c r="R1299" i="43"/>
  <c r="Q1299" i="43"/>
  <c r="K1299" i="43"/>
  <c r="R1298" i="43"/>
  <c r="Q1298" i="43"/>
  <c r="K1298" i="43"/>
  <c r="R1297" i="43"/>
  <c r="I1297" i="43"/>
  <c r="R1296" i="43"/>
  <c r="Q1296" i="43"/>
  <c r="K1296" i="43"/>
  <c r="R1295" i="43"/>
  <c r="Q1295" i="43"/>
  <c r="K1295" i="43"/>
  <c r="R1294" i="43"/>
  <c r="Q1294" i="43"/>
  <c r="K1294" i="43"/>
  <c r="R1293" i="43"/>
  <c r="Q1293" i="43"/>
  <c r="K1293" i="43"/>
  <c r="J1292" i="43"/>
  <c r="I1292" i="43"/>
  <c r="Q1292" i="43" s="1"/>
  <c r="R1291" i="43"/>
  <c r="Q1291" i="43"/>
  <c r="K1291" i="43"/>
  <c r="R1290" i="43"/>
  <c r="Q1290" i="43"/>
  <c r="K1290" i="43"/>
  <c r="R1288" i="43"/>
  <c r="I1288" i="43"/>
  <c r="K1288" i="43" s="1"/>
  <c r="R1287" i="43"/>
  <c r="I1287" i="43"/>
  <c r="R1286" i="43"/>
  <c r="I1286" i="43"/>
  <c r="K1286" i="43" s="1"/>
  <c r="R1285" i="43"/>
  <c r="I1285" i="43"/>
  <c r="R1284" i="43"/>
  <c r="Q1284" i="43"/>
  <c r="K1284" i="43"/>
  <c r="J1283" i="43"/>
  <c r="R1282" i="43"/>
  <c r="I1282" i="43"/>
  <c r="K1282" i="43" s="1"/>
  <c r="R1281" i="43"/>
  <c r="I1281" i="43"/>
  <c r="R1280" i="43"/>
  <c r="I1280" i="43"/>
  <c r="K1280" i="43" s="1"/>
  <c r="R1279" i="43"/>
  <c r="I1279" i="43"/>
  <c r="Q1279" i="43" s="1"/>
  <c r="R1278" i="43"/>
  <c r="I1278" i="43"/>
  <c r="R1277" i="43"/>
  <c r="I1277" i="43"/>
  <c r="K1277" i="43" s="1"/>
  <c r="J1276" i="43"/>
  <c r="R1276" i="43" s="1"/>
  <c r="R1275" i="43"/>
  <c r="I1275" i="43"/>
  <c r="R1274" i="43"/>
  <c r="I1274" i="43"/>
  <c r="Q1274" i="43" s="1"/>
  <c r="R1272" i="43"/>
  <c r="I1272" i="43"/>
  <c r="Q1272" i="43" s="1"/>
  <c r="R1271" i="43"/>
  <c r="K1271" i="43"/>
  <c r="R1270" i="43"/>
  <c r="I1270" i="43"/>
  <c r="R1269" i="43"/>
  <c r="I1269" i="43"/>
  <c r="R1268" i="43"/>
  <c r="I1268" i="43"/>
  <c r="J1267" i="43"/>
  <c r="R1267" i="43" s="1"/>
  <c r="R1266" i="43"/>
  <c r="I1266" i="43"/>
  <c r="Q1266" i="43" s="1"/>
  <c r="R1265" i="43"/>
  <c r="I1265" i="43"/>
  <c r="K1265" i="43" s="1"/>
  <c r="R1264" i="43"/>
  <c r="I1264" i="43"/>
  <c r="R1263" i="43"/>
  <c r="I1263" i="43"/>
  <c r="K1263" i="43" s="1"/>
  <c r="R1262" i="43"/>
  <c r="K1262" i="43"/>
  <c r="R1261" i="43"/>
  <c r="I1261" i="43"/>
  <c r="R1260" i="43"/>
  <c r="I1260" i="43"/>
  <c r="R1259" i="43"/>
  <c r="I1259" i="43"/>
  <c r="J1258" i="43"/>
  <c r="R1257" i="43"/>
  <c r="I1257" i="43"/>
  <c r="R1256" i="43"/>
  <c r="I1256" i="43"/>
  <c r="R1254" i="43"/>
  <c r="M1254" i="43"/>
  <c r="N1253" i="43"/>
  <c r="N1252" i="43" s="1"/>
  <c r="R1251" i="43"/>
  <c r="K1251" i="43"/>
  <c r="R1250" i="43"/>
  <c r="I1250" i="43"/>
  <c r="K1250" i="43" s="1"/>
  <c r="R1249" i="43"/>
  <c r="Q1249" i="43"/>
  <c r="K1249" i="43"/>
  <c r="R1248" i="43"/>
  <c r="I1248" i="43"/>
  <c r="R1247" i="43"/>
  <c r="I1247" i="43"/>
  <c r="Q1247" i="43" s="1"/>
  <c r="J1246" i="43"/>
  <c r="R1246" i="43" s="1"/>
  <c r="R1245" i="43"/>
  <c r="I1245" i="43"/>
  <c r="R1244" i="43"/>
  <c r="I1244" i="43"/>
  <c r="R1243" i="43"/>
  <c r="K1243" i="43"/>
  <c r="R1242" i="43"/>
  <c r="I1242" i="43"/>
  <c r="Q1242" i="43" s="1"/>
  <c r="R1241" i="43"/>
  <c r="Q1241" i="43"/>
  <c r="K1241" i="43"/>
  <c r="R1240" i="43"/>
  <c r="I1240" i="43"/>
  <c r="R1239" i="43"/>
  <c r="I1239" i="43"/>
  <c r="Q1239" i="43" s="1"/>
  <c r="J1238" i="43"/>
  <c r="R1237" i="43"/>
  <c r="I1237" i="43"/>
  <c r="K1237" i="43" s="1"/>
  <c r="R1236" i="43"/>
  <c r="I1236" i="43"/>
  <c r="K1236" i="43" s="1"/>
  <c r="R1234" i="43"/>
  <c r="Q1234" i="43"/>
  <c r="K1234" i="43"/>
  <c r="J1233" i="43"/>
  <c r="I1233" i="43"/>
  <c r="Q1233" i="43" s="1"/>
  <c r="R1232" i="43"/>
  <c r="Q1232" i="43"/>
  <c r="K1232" i="43"/>
  <c r="J1231" i="43"/>
  <c r="R1231" i="43" s="1"/>
  <c r="I1231" i="43"/>
  <c r="R1229" i="43"/>
  <c r="R1228" i="43"/>
  <c r="I1228" i="43"/>
  <c r="R1227" i="43"/>
  <c r="I1227" i="43"/>
  <c r="R1226" i="43"/>
  <c r="Q1226" i="43"/>
  <c r="K1226" i="43"/>
  <c r="R1225" i="43"/>
  <c r="I1225" i="43"/>
  <c r="K1225" i="43" s="1"/>
  <c r="R1224" i="43"/>
  <c r="Q1224" i="43"/>
  <c r="K1224" i="43"/>
  <c r="J1223" i="43"/>
  <c r="R1223" i="43" s="1"/>
  <c r="R1222" i="43"/>
  <c r="Q1222" i="43"/>
  <c r="K1222" i="43"/>
  <c r="R1221" i="43"/>
  <c r="I1221" i="43"/>
  <c r="Q1221" i="43" s="1"/>
  <c r="R1220" i="43"/>
  <c r="I1220" i="43"/>
  <c r="R1219" i="43"/>
  <c r="I1219" i="43"/>
  <c r="R1218" i="43"/>
  <c r="Q1218" i="43"/>
  <c r="K1218" i="43"/>
  <c r="R1217" i="43"/>
  <c r="I1217" i="43"/>
  <c r="K1217" i="43" s="1"/>
  <c r="R1216" i="43"/>
  <c r="Q1216" i="43"/>
  <c r="K1216" i="43"/>
  <c r="J1215" i="43"/>
  <c r="R1214" i="43"/>
  <c r="I1214" i="43"/>
  <c r="K1214" i="43" s="1"/>
  <c r="R1213" i="43"/>
  <c r="I1213" i="43"/>
  <c r="Q1213" i="43" s="1"/>
  <c r="R1211" i="43"/>
  <c r="R1210" i="43"/>
  <c r="I1210" i="43"/>
  <c r="R1209" i="43"/>
  <c r="I1209" i="43"/>
  <c r="K1209" i="43" s="1"/>
  <c r="R1208" i="43"/>
  <c r="I1208" i="43"/>
  <c r="R1207" i="43"/>
  <c r="I1207" i="43"/>
  <c r="Q1207" i="43" s="1"/>
  <c r="R1206" i="43"/>
  <c r="I1206" i="43"/>
  <c r="J1205" i="43"/>
  <c r="R1205" i="43" s="1"/>
  <c r="R1204" i="43"/>
  <c r="I1204" i="43"/>
  <c r="R1203" i="43"/>
  <c r="I1203" i="43"/>
  <c r="K1203" i="43" s="1"/>
  <c r="R1202" i="43"/>
  <c r="R1201" i="43"/>
  <c r="I1201" i="43"/>
  <c r="K1201" i="43" s="1"/>
  <c r="R1200" i="43"/>
  <c r="I1200" i="43"/>
  <c r="Q1200" i="43" s="1"/>
  <c r="R1199" i="43"/>
  <c r="Q1199" i="43"/>
  <c r="K1199" i="43"/>
  <c r="R1198" i="43"/>
  <c r="I1198" i="43"/>
  <c r="J1197" i="43"/>
  <c r="R1197" i="43" s="1"/>
  <c r="R1196" i="43"/>
  <c r="I1196" i="43"/>
  <c r="K1196" i="43" s="1"/>
  <c r="R1195" i="43"/>
  <c r="I1195" i="43"/>
  <c r="R1193" i="43"/>
  <c r="Q1193" i="43"/>
  <c r="O1193" i="43"/>
  <c r="N1192" i="43"/>
  <c r="M1192" i="43"/>
  <c r="Q1192" i="43" s="1"/>
  <c r="R1190" i="43"/>
  <c r="Q1190" i="43"/>
  <c r="K1190" i="43"/>
  <c r="R1189" i="43"/>
  <c r="Q1189" i="43"/>
  <c r="K1189" i="43"/>
  <c r="R1188" i="43"/>
  <c r="I1188" i="43"/>
  <c r="R1187" i="43"/>
  <c r="I1187" i="43"/>
  <c r="Q1187" i="43" s="1"/>
  <c r="R1186" i="43"/>
  <c r="Q1186" i="43"/>
  <c r="K1186" i="43"/>
  <c r="J1185" i="43"/>
  <c r="R1184" i="43"/>
  <c r="I1184" i="43"/>
  <c r="R1183" i="43"/>
  <c r="I1183" i="43"/>
  <c r="Q1183" i="43" s="1"/>
  <c r="R1181" i="43"/>
  <c r="Q1181" i="43"/>
  <c r="K1181" i="43"/>
  <c r="R1180" i="43"/>
  <c r="I1180" i="43"/>
  <c r="R1179" i="43"/>
  <c r="I1179" i="43"/>
  <c r="J1178" i="43"/>
  <c r="R1178" i="43" s="1"/>
  <c r="R1177" i="43"/>
  <c r="Q1177" i="43"/>
  <c r="K1177" i="43"/>
  <c r="R1176" i="43"/>
  <c r="Q1176" i="43"/>
  <c r="K1176" i="43"/>
  <c r="R1174" i="43"/>
  <c r="Q1174" i="43"/>
  <c r="K1174" i="43"/>
  <c r="R1173" i="43"/>
  <c r="Q1173" i="43"/>
  <c r="K1173" i="43"/>
  <c r="R1172" i="43"/>
  <c r="Q1172" i="43"/>
  <c r="K1172" i="43"/>
  <c r="J1171" i="43"/>
  <c r="R1171" i="43" s="1"/>
  <c r="I1171" i="43"/>
  <c r="Q1171" i="43" s="1"/>
  <c r="R1170" i="43"/>
  <c r="Q1170" i="43"/>
  <c r="K1170" i="43"/>
  <c r="R1169" i="43"/>
  <c r="Q1169" i="43"/>
  <c r="K1169" i="43"/>
  <c r="J1168" i="43"/>
  <c r="I1168" i="43"/>
  <c r="Q1168" i="43" s="1"/>
  <c r="R1167" i="43"/>
  <c r="Q1167" i="43"/>
  <c r="K1167" i="43"/>
  <c r="R1166" i="43"/>
  <c r="I1166" i="43"/>
  <c r="Q1165" i="43"/>
  <c r="J1165" i="43"/>
  <c r="R1165" i="43" s="1"/>
  <c r="R1164" i="43"/>
  <c r="Q1164" i="43"/>
  <c r="K1164" i="43"/>
  <c r="R1163" i="43"/>
  <c r="Q1163" i="43"/>
  <c r="K1163" i="43"/>
  <c r="I1162" i="43"/>
  <c r="Q1162" i="43" s="1"/>
  <c r="R1161" i="43"/>
  <c r="Q1161" i="43"/>
  <c r="K1161" i="43"/>
  <c r="R1160" i="43"/>
  <c r="I1160" i="43"/>
  <c r="J1159" i="43"/>
  <c r="R1159" i="43" s="1"/>
  <c r="R1158" i="43"/>
  <c r="Q1158" i="43"/>
  <c r="K1158" i="43"/>
  <c r="R1157" i="43"/>
  <c r="Q1157" i="43"/>
  <c r="K1157" i="43"/>
  <c r="R1155" i="43"/>
  <c r="Q1155" i="43"/>
  <c r="K1155" i="43"/>
  <c r="R1154" i="43"/>
  <c r="Q1154" i="43"/>
  <c r="K1154" i="43"/>
  <c r="R1153" i="43"/>
  <c r="I1153" i="43"/>
  <c r="R1152" i="43"/>
  <c r="I1152" i="43"/>
  <c r="J1151" i="43"/>
  <c r="R1151" i="43" s="1"/>
  <c r="R1150" i="43"/>
  <c r="Q1150" i="43"/>
  <c r="K1150" i="43"/>
  <c r="R1149" i="43"/>
  <c r="Q1149" i="43"/>
  <c r="K1149" i="43"/>
  <c r="R1147" i="43"/>
  <c r="Q1147" i="43"/>
  <c r="K1147" i="43"/>
  <c r="R1146" i="43"/>
  <c r="Q1146" i="43"/>
  <c r="K1146" i="43"/>
  <c r="R1145" i="43"/>
  <c r="I1145" i="43"/>
  <c r="R1144" i="43"/>
  <c r="I1144" i="43"/>
  <c r="K1144" i="43" s="1"/>
  <c r="J1143" i="43"/>
  <c r="R1142" i="43"/>
  <c r="Q1142" i="43"/>
  <c r="K1142" i="43"/>
  <c r="R1141" i="43"/>
  <c r="Q1141" i="43"/>
  <c r="K1141" i="43"/>
  <c r="R1139" i="43"/>
  <c r="I1139" i="43"/>
  <c r="R1138" i="43"/>
  <c r="I1138" i="43"/>
  <c r="K1138" i="43" s="1"/>
  <c r="R1137" i="43"/>
  <c r="I1137" i="43"/>
  <c r="J1136" i="43"/>
  <c r="R1135" i="43"/>
  <c r="Q1135" i="43"/>
  <c r="K1135" i="43"/>
  <c r="R1134" i="43"/>
  <c r="Q1134" i="43"/>
  <c r="K1134" i="43"/>
  <c r="R1132" i="43"/>
  <c r="Q1132" i="43"/>
  <c r="K1132" i="43"/>
  <c r="R1131" i="43"/>
  <c r="Q1131" i="43"/>
  <c r="K1131" i="43"/>
  <c r="R1130" i="43"/>
  <c r="I1130" i="43"/>
  <c r="R1129" i="43"/>
  <c r="I1129" i="43"/>
  <c r="J1128" i="43"/>
  <c r="J1125" i="43" s="1"/>
  <c r="R1125" i="43" s="1"/>
  <c r="R1127" i="43"/>
  <c r="Q1127" i="43"/>
  <c r="K1127" i="43"/>
  <c r="R1126" i="43"/>
  <c r="Q1126" i="43"/>
  <c r="K1126" i="43"/>
  <c r="R1124" i="43"/>
  <c r="Q1124" i="43"/>
  <c r="K1124" i="43"/>
  <c r="R1123" i="43"/>
  <c r="Q1123" i="43"/>
  <c r="K1123" i="43"/>
  <c r="R1122" i="43"/>
  <c r="I1122" i="43"/>
  <c r="K1122" i="43" s="1"/>
  <c r="R1121" i="43"/>
  <c r="I1121" i="43"/>
  <c r="J1120" i="43"/>
  <c r="R1120" i="43" s="1"/>
  <c r="R1119" i="43"/>
  <c r="Q1119" i="43"/>
  <c r="K1119" i="43"/>
  <c r="R1118" i="43"/>
  <c r="Q1118" i="43"/>
  <c r="K1118" i="43"/>
  <c r="R1116" i="43"/>
  <c r="Q1116" i="43"/>
  <c r="K1116" i="43"/>
  <c r="R1115" i="43"/>
  <c r="Q1115" i="43"/>
  <c r="K1115" i="43"/>
  <c r="R1114" i="43"/>
  <c r="I1114" i="43"/>
  <c r="R1113" i="43"/>
  <c r="I1113" i="43"/>
  <c r="J1112" i="43"/>
  <c r="R1111" i="43"/>
  <c r="Q1111" i="43"/>
  <c r="K1111" i="43"/>
  <c r="R1110" i="43"/>
  <c r="Q1110" i="43"/>
  <c r="K1110" i="43"/>
  <c r="R1108" i="43"/>
  <c r="Q1108" i="43"/>
  <c r="K1108" i="43"/>
  <c r="R1107" i="43"/>
  <c r="I1107" i="43"/>
  <c r="Q1107" i="43" s="1"/>
  <c r="R1106" i="43"/>
  <c r="I1106" i="43"/>
  <c r="K1106" i="43" s="1"/>
  <c r="J1105" i="43"/>
  <c r="R1104" i="43"/>
  <c r="Q1104" i="43"/>
  <c r="K1104" i="43"/>
  <c r="R1103" i="43"/>
  <c r="Q1103" i="43"/>
  <c r="K1103" i="43"/>
  <c r="R1101" i="43"/>
  <c r="Q1101" i="43"/>
  <c r="K1101" i="43"/>
  <c r="R1100" i="43"/>
  <c r="Q1100" i="43"/>
  <c r="K1100" i="43"/>
  <c r="R1099" i="43"/>
  <c r="I1099" i="43"/>
  <c r="R1098" i="43"/>
  <c r="I1098" i="43"/>
  <c r="J1097" i="43"/>
  <c r="R1096" i="43"/>
  <c r="Q1096" i="43"/>
  <c r="K1096" i="43"/>
  <c r="R1095" i="43"/>
  <c r="Q1095" i="43"/>
  <c r="K1095" i="43"/>
  <c r="R1093" i="43"/>
  <c r="Q1093" i="43"/>
  <c r="K1093" i="43"/>
  <c r="R1092" i="43"/>
  <c r="Q1092" i="43"/>
  <c r="K1092" i="43"/>
  <c r="R1091" i="43"/>
  <c r="I1091" i="43"/>
  <c r="Q1091" i="43" s="1"/>
  <c r="R1090" i="43"/>
  <c r="I1090" i="43"/>
  <c r="J1089" i="43"/>
  <c r="R1088" i="43"/>
  <c r="Q1088" i="43"/>
  <c r="K1088" i="43"/>
  <c r="R1087" i="43"/>
  <c r="Q1087" i="43"/>
  <c r="K1087" i="43"/>
  <c r="R1084" i="43"/>
  <c r="I1084" i="43"/>
  <c r="Q1084" i="43" s="1"/>
  <c r="R1083" i="43"/>
  <c r="I1083" i="43"/>
  <c r="R1082" i="43"/>
  <c r="I1082" i="43"/>
  <c r="Q1082" i="43" s="1"/>
  <c r="R1081" i="43"/>
  <c r="I1081" i="43"/>
  <c r="K1081" i="43" s="1"/>
  <c r="R1080" i="43"/>
  <c r="I1080" i="43"/>
  <c r="Q1080" i="43" s="1"/>
  <c r="J1079" i="43"/>
  <c r="R1079" i="43" s="1"/>
  <c r="R1076" i="43"/>
  <c r="I1076" i="43"/>
  <c r="Q1076" i="43" s="1"/>
  <c r="R1075" i="43"/>
  <c r="I1075" i="43"/>
  <c r="K1075" i="43" s="1"/>
  <c r="R1074" i="43"/>
  <c r="I1074" i="43"/>
  <c r="Q1074" i="43" s="1"/>
  <c r="R1073" i="43"/>
  <c r="I1073" i="43"/>
  <c r="K1073" i="43" s="1"/>
  <c r="R1072" i="43"/>
  <c r="I1072" i="43"/>
  <c r="Q1072" i="43" s="1"/>
  <c r="R1071" i="43"/>
  <c r="I1071" i="43"/>
  <c r="R1070" i="43"/>
  <c r="I1070" i="43"/>
  <c r="J1069" i="43"/>
  <c r="R1069" i="43" s="1"/>
  <c r="R1068" i="43"/>
  <c r="I1068" i="43"/>
  <c r="K1068" i="43" s="1"/>
  <c r="R1067" i="43"/>
  <c r="I1067" i="43"/>
  <c r="R1065" i="43"/>
  <c r="Q1065" i="43"/>
  <c r="K1065" i="43"/>
  <c r="R1064" i="43"/>
  <c r="Q1064" i="43"/>
  <c r="K1064" i="43"/>
  <c r="R1063" i="43"/>
  <c r="I1063" i="43"/>
  <c r="K1063" i="43" s="1"/>
  <c r="J1062" i="43"/>
  <c r="R1061" i="43"/>
  <c r="Q1061" i="43"/>
  <c r="K1061" i="43"/>
  <c r="R1060" i="43"/>
  <c r="Q1060" i="43"/>
  <c r="K1060" i="43"/>
  <c r="R1058" i="43"/>
  <c r="I1058" i="43"/>
  <c r="Q1058" i="43" s="1"/>
  <c r="R1057" i="43"/>
  <c r="Q1057" i="43"/>
  <c r="K1057" i="43"/>
  <c r="R1056" i="43"/>
  <c r="Q1056" i="43"/>
  <c r="K1056" i="43"/>
  <c r="R1055" i="43"/>
  <c r="Q1055" i="43"/>
  <c r="K1055" i="43"/>
  <c r="J1054" i="43"/>
  <c r="R1054" i="43" s="1"/>
  <c r="I1054" i="43"/>
  <c r="Q1054" i="43" s="1"/>
  <c r="R1053" i="43"/>
  <c r="Q1053" i="43"/>
  <c r="K1053" i="43"/>
  <c r="R1052" i="43"/>
  <c r="Q1052" i="43"/>
  <c r="K1052" i="43"/>
  <c r="R1050" i="43"/>
  <c r="I1050" i="43"/>
  <c r="K1050" i="43" s="1"/>
  <c r="R1049" i="43"/>
  <c r="I1049" i="43"/>
  <c r="R1048" i="43"/>
  <c r="I1048" i="43"/>
  <c r="R1047" i="43"/>
  <c r="Q1047" i="43"/>
  <c r="K1047" i="43"/>
  <c r="J1046" i="43"/>
  <c r="R1046" i="43" s="1"/>
  <c r="R1045" i="43"/>
  <c r="I1045" i="43"/>
  <c r="R1044" i="43"/>
  <c r="I1044" i="43"/>
  <c r="R1042" i="43"/>
  <c r="I1042" i="43"/>
  <c r="R1041" i="43"/>
  <c r="I1041" i="43"/>
  <c r="Q1041" i="43" s="1"/>
  <c r="R1040" i="43"/>
  <c r="I1040" i="43"/>
  <c r="J1039" i="43"/>
  <c r="R1039" i="43" s="1"/>
  <c r="R1038" i="43"/>
  <c r="I1038" i="43"/>
  <c r="R1037" i="43"/>
  <c r="I1037" i="43"/>
  <c r="K1037" i="43" s="1"/>
  <c r="R1035" i="43"/>
  <c r="Q1035" i="43"/>
  <c r="K1035" i="43"/>
  <c r="R1034" i="43"/>
  <c r="I1034" i="43"/>
  <c r="R1033" i="43"/>
  <c r="I1033" i="43"/>
  <c r="R1032" i="43"/>
  <c r="K1032" i="43"/>
  <c r="R1031" i="43"/>
  <c r="I1031" i="43"/>
  <c r="R1030" i="43"/>
  <c r="Q1030" i="43"/>
  <c r="K1030" i="43"/>
  <c r="J1029" i="43"/>
  <c r="R1029" i="43" s="1"/>
  <c r="R1028" i="43"/>
  <c r="I1028" i="43"/>
  <c r="Q1028" i="43" s="1"/>
  <c r="R1027" i="43"/>
  <c r="I1027" i="43"/>
  <c r="K1027" i="43" s="1"/>
  <c r="R1025" i="43"/>
  <c r="I1025" i="43"/>
  <c r="R1024" i="43"/>
  <c r="I1024" i="43"/>
  <c r="R1023" i="43"/>
  <c r="I1023" i="43"/>
  <c r="R1022" i="43"/>
  <c r="Q1022" i="43"/>
  <c r="K1022" i="43"/>
  <c r="R1021" i="43"/>
  <c r="I1021" i="43"/>
  <c r="J1020" i="43"/>
  <c r="R1020" i="43" s="1"/>
  <c r="R1019" i="43"/>
  <c r="I1019" i="43"/>
  <c r="R1018" i="43"/>
  <c r="I1018" i="43"/>
  <c r="R1016" i="43"/>
  <c r="I1016" i="43"/>
  <c r="K1016" i="43" s="1"/>
  <c r="R1015" i="43"/>
  <c r="I1015" i="43"/>
  <c r="R1014" i="43"/>
  <c r="Q1014" i="43"/>
  <c r="K1014" i="43"/>
  <c r="R1013" i="43"/>
  <c r="Q1013" i="43"/>
  <c r="K1013" i="43"/>
  <c r="J1012" i="43"/>
  <c r="J1009" i="43" s="1"/>
  <c r="R1011" i="43"/>
  <c r="I1011" i="43"/>
  <c r="R1010" i="43"/>
  <c r="I1010" i="43"/>
  <c r="R1008" i="43"/>
  <c r="I1008" i="43"/>
  <c r="R1007" i="43"/>
  <c r="I1007" i="43"/>
  <c r="K1007" i="43" s="1"/>
  <c r="R1006" i="43"/>
  <c r="Q1006" i="43"/>
  <c r="K1006" i="43"/>
  <c r="R1005" i="43"/>
  <c r="I1005" i="43"/>
  <c r="J1004" i="43"/>
  <c r="R1004" i="43" s="1"/>
  <c r="R1003" i="43"/>
  <c r="I1003" i="43"/>
  <c r="R1002" i="43"/>
  <c r="I1002" i="43"/>
  <c r="R1000" i="43"/>
  <c r="Q1000" i="43"/>
  <c r="K1000" i="43"/>
  <c r="R999" i="43"/>
  <c r="Q999" i="43"/>
  <c r="K999" i="43"/>
  <c r="R998" i="43"/>
  <c r="Q998" i="43"/>
  <c r="K998" i="43"/>
  <c r="J997" i="43"/>
  <c r="R997" i="43" s="1"/>
  <c r="I997" i="43"/>
  <c r="Q997" i="43" s="1"/>
  <c r="R996" i="43"/>
  <c r="I996" i="43"/>
  <c r="Q996" i="43" s="1"/>
  <c r="R995" i="43"/>
  <c r="I995" i="43"/>
  <c r="R993" i="43"/>
  <c r="I993" i="43"/>
  <c r="R992" i="43"/>
  <c r="I992" i="43"/>
  <c r="K992" i="43" s="1"/>
  <c r="R991" i="43"/>
  <c r="Q991" i="43"/>
  <c r="K991" i="43"/>
  <c r="R990" i="43"/>
  <c r="I990" i="43"/>
  <c r="Q990" i="43" s="1"/>
  <c r="R989" i="43"/>
  <c r="Q989" i="43"/>
  <c r="K989" i="43"/>
  <c r="R988" i="43"/>
  <c r="I988" i="43"/>
  <c r="Q988" i="43" s="1"/>
  <c r="R987" i="43"/>
  <c r="Q987" i="43"/>
  <c r="K987" i="43"/>
  <c r="R986" i="43"/>
  <c r="I986" i="43"/>
  <c r="J985" i="43"/>
  <c r="R984" i="43"/>
  <c r="I984" i="43"/>
  <c r="R983" i="43"/>
  <c r="Q983" i="43"/>
  <c r="K983" i="43"/>
  <c r="R981" i="43"/>
  <c r="I981" i="43"/>
  <c r="R980" i="43"/>
  <c r="I980" i="43"/>
  <c r="K980" i="43" s="1"/>
  <c r="R979" i="43"/>
  <c r="I979" i="43"/>
  <c r="R978" i="43"/>
  <c r="I978" i="43"/>
  <c r="K978" i="43" s="1"/>
  <c r="R977" i="43"/>
  <c r="I977" i="43"/>
  <c r="K977" i="43" s="1"/>
  <c r="R976" i="43"/>
  <c r="I976" i="43"/>
  <c r="R975" i="43"/>
  <c r="I975" i="43"/>
  <c r="R974" i="43"/>
  <c r="I974" i="43"/>
  <c r="Q974" i="43" s="1"/>
  <c r="J973" i="43"/>
  <c r="R970" i="43"/>
  <c r="K970" i="43"/>
  <c r="R969" i="43"/>
  <c r="Q969" i="43"/>
  <c r="K969" i="43"/>
  <c r="R968" i="43"/>
  <c r="I968" i="43"/>
  <c r="R967" i="43"/>
  <c r="I967" i="43"/>
  <c r="Q967" i="43" s="1"/>
  <c r="R966" i="43"/>
  <c r="I966" i="43"/>
  <c r="Q966" i="43" s="1"/>
  <c r="R965" i="43"/>
  <c r="I965" i="43"/>
  <c r="R964" i="43"/>
  <c r="I964" i="43"/>
  <c r="J963" i="43"/>
  <c r="R963" i="43" s="1"/>
  <c r="R962" i="43"/>
  <c r="I962" i="43"/>
  <c r="Q962" i="43" s="1"/>
  <c r="R961" i="43"/>
  <c r="I961" i="43"/>
  <c r="R960" i="43"/>
  <c r="I960" i="43"/>
  <c r="R959" i="43"/>
  <c r="I959" i="43"/>
  <c r="R958" i="43"/>
  <c r="Q958" i="43"/>
  <c r="K958" i="43"/>
  <c r="R957" i="43"/>
  <c r="Q957" i="43"/>
  <c r="K957" i="43"/>
  <c r="R956" i="43"/>
  <c r="I956" i="43"/>
  <c r="R955" i="43"/>
  <c r="I955" i="43"/>
  <c r="J954" i="43"/>
  <c r="R954" i="43" s="1"/>
  <c r="R953" i="43"/>
  <c r="I953" i="43"/>
  <c r="R952" i="43"/>
  <c r="I952" i="43"/>
  <c r="R950" i="43"/>
  <c r="Q950" i="43"/>
  <c r="K950" i="43"/>
  <c r="R949" i="43"/>
  <c r="Q949" i="43"/>
  <c r="K949" i="43"/>
  <c r="R948" i="43"/>
  <c r="I948" i="43"/>
  <c r="R947" i="43"/>
  <c r="I947" i="43"/>
  <c r="R946" i="43"/>
  <c r="Q946" i="43"/>
  <c r="K946" i="43"/>
  <c r="R945" i="43"/>
  <c r="I945" i="43"/>
  <c r="R944" i="43"/>
  <c r="I944" i="43"/>
  <c r="R943" i="43"/>
  <c r="Q943" i="43"/>
  <c r="K943" i="43"/>
  <c r="R942" i="43"/>
  <c r="I942" i="43"/>
  <c r="Q942" i="43" s="1"/>
  <c r="J941" i="43"/>
  <c r="R940" i="43"/>
  <c r="I940" i="43"/>
  <c r="K940" i="43" s="1"/>
  <c r="R939" i="43"/>
  <c r="I939" i="43"/>
  <c r="R938" i="43"/>
  <c r="I938" i="43"/>
  <c r="Q938" i="43" s="1"/>
  <c r="R937" i="43"/>
  <c r="Q937" i="43"/>
  <c r="K937" i="43"/>
  <c r="R936" i="43"/>
  <c r="Q936" i="43"/>
  <c r="K936" i="43"/>
  <c r="R935" i="43"/>
  <c r="I935" i="43"/>
  <c r="R934" i="43"/>
  <c r="Q934" i="43"/>
  <c r="K934" i="43"/>
  <c r="R933" i="43"/>
  <c r="I933" i="43"/>
  <c r="Q933" i="43" s="1"/>
  <c r="R932" i="43"/>
  <c r="Q932" i="43"/>
  <c r="K932" i="43"/>
  <c r="R931" i="43"/>
  <c r="Q931" i="43"/>
  <c r="K931" i="43"/>
  <c r="J930" i="43"/>
  <c r="R929" i="43"/>
  <c r="I929" i="43"/>
  <c r="Q929" i="43" s="1"/>
  <c r="R928" i="43"/>
  <c r="I928" i="43"/>
  <c r="K928" i="43" s="1"/>
  <c r="R926" i="43"/>
  <c r="Q926" i="43"/>
  <c r="K926" i="43"/>
  <c r="R925" i="43"/>
  <c r="Q925" i="43"/>
  <c r="K925" i="43"/>
  <c r="R924" i="43"/>
  <c r="I924" i="43"/>
  <c r="R923" i="43"/>
  <c r="I923" i="43"/>
  <c r="R922" i="43"/>
  <c r="Q922" i="43"/>
  <c r="K922" i="43"/>
  <c r="R921" i="43"/>
  <c r="I921" i="43"/>
  <c r="R920" i="43"/>
  <c r="I920" i="43"/>
  <c r="R919" i="43"/>
  <c r="I919" i="43"/>
  <c r="R918" i="43"/>
  <c r="I918" i="43"/>
  <c r="J917" i="43"/>
  <c r="R917" i="43" s="1"/>
  <c r="R916" i="43"/>
  <c r="I916" i="43"/>
  <c r="K916" i="43" s="1"/>
  <c r="R915" i="43"/>
  <c r="I915" i="43"/>
  <c r="R914" i="43"/>
  <c r="Q914" i="43"/>
  <c r="K914" i="43"/>
  <c r="R913" i="43"/>
  <c r="I913" i="43"/>
  <c r="R912" i="43"/>
  <c r="Q912" i="43"/>
  <c r="K912" i="43"/>
  <c r="R911" i="43"/>
  <c r="Q911" i="43"/>
  <c r="K911" i="43"/>
  <c r="R910" i="43"/>
  <c r="I910" i="43"/>
  <c r="R909" i="43"/>
  <c r="Q909" i="43"/>
  <c r="K909" i="43"/>
  <c r="R908" i="43"/>
  <c r="I908" i="43"/>
  <c r="K908" i="43" s="1"/>
  <c r="R907" i="43"/>
  <c r="I907" i="43"/>
  <c r="R906" i="43"/>
  <c r="I906" i="43"/>
  <c r="J905" i="43"/>
  <c r="R904" i="43"/>
  <c r="I904" i="43"/>
  <c r="Q904" i="43" s="1"/>
  <c r="R903" i="43"/>
  <c r="I903" i="43"/>
  <c r="Q903" i="43" s="1"/>
  <c r="N901" i="43"/>
  <c r="M901" i="43"/>
  <c r="Q901" i="43" s="1"/>
  <c r="R898" i="43"/>
  <c r="Q898" i="43"/>
  <c r="K898" i="43"/>
  <c r="R897" i="43"/>
  <c r="Q897" i="43"/>
  <c r="K897" i="43"/>
  <c r="R896" i="43"/>
  <c r="I896" i="43"/>
  <c r="R895" i="43"/>
  <c r="I895" i="43"/>
  <c r="R894" i="43"/>
  <c r="Q894" i="43"/>
  <c r="K894" i="43"/>
  <c r="R893" i="43"/>
  <c r="I893" i="43"/>
  <c r="R892" i="43"/>
  <c r="I892" i="43"/>
  <c r="R891" i="43"/>
  <c r="I891" i="43"/>
  <c r="K891" i="43" s="1"/>
  <c r="R890" i="43"/>
  <c r="I890" i="43"/>
  <c r="J889" i="43"/>
  <c r="R889" i="43" s="1"/>
  <c r="R888" i="43"/>
  <c r="I888" i="43"/>
  <c r="R887" i="43"/>
  <c r="I887" i="43"/>
  <c r="R886" i="43"/>
  <c r="I886" i="43"/>
  <c r="R885" i="43"/>
  <c r="I885" i="43"/>
  <c r="K885" i="43" s="1"/>
  <c r="R884" i="43"/>
  <c r="Q884" i="43"/>
  <c r="K884" i="43"/>
  <c r="R883" i="43"/>
  <c r="I883" i="43"/>
  <c r="Q883" i="43" s="1"/>
  <c r="R882" i="43"/>
  <c r="Q882" i="43"/>
  <c r="K882" i="43"/>
  <c r="R881" i="43"/>
  <c r="I881" i="43"/>
  <c r="K881" i="43" s="1"/>
  <c r="R880" i="43"/>
  <c r="I880" i="43"/>
  <c r="K880" i="43" s="1"/>
  <c r="R879" i="43"/>
  <c r="I879" i="43"/>
  <c r="J878" i="43"/>
  <c r="R877" i="43"/>
  <c r="I877" i="43"/>
  <c r="R876" i="43"/>
  <c r="I876" i="43"/>
  <c r="R874" i="43"/>
  <c r="Q874" i="43"/>
  <c r="O874" i="43"/>
  <c r="N873" i="43"/>
  <c r="M873" i="43"/>
  <c r="Q873" i="43" s="1"/>
  <c r="R870" i="43"/>
  <c r="Q870" i="43"/>
  <c r="K870" i="43"/>
  <c r="R869" i="43"/>
  <c r="Q869" i="43"/>
  <c r="K869" i="43"/>
  <c r="R868" i="43"/>
  <c r="I868" i="43"/>
  <c r="R867" i="43"/>
  <c r="I867" i="43"/>
  <c r="K867" i="43" s="1"/>
  <c r="R866" i="43"/>
  <c r="Q866" i="43"/>
  <c r="K866" i="43"/>
  <c r="R865" i="43"/>
  <c r="I865" i="43"/>
  <c r="K865" i="43" s="1"/>
  <c r="R864" i="43"/>
  <c r="I864" i="43"/>
  <c r="K864" i="43" s="1"/>
  <c r="R863" i="43"/>
  <c r="I863" i="43"/>
  <c r="K863" i="43" s="1"/>
  <c r="R862" i="43"/>
  <c r="I862" i="43"/>
  <c r="J861" i="43"/>
  <c r="R860" i="43"/>
  <c r="I860" i="43"/>
  <c r="Q860" i="43" s="1"/>
  <c r="R859" i="43"/>
  <c r="I859" i="43"/>
  <c r="K859" i="43" s="1"/>
  <c r="R858" i="43"/>
  <c r="I858" i="43"/>
  <c r="R857" i="43"/>
  <c r="I857" i="43"/>
  <c r="R856" i="43"/>
  <c r="K856" i="43"/>
  <c r="R855" i="43"/>
  <c r="I855" i="43"/>
  <c r="K855" i="43" s="1"/>
  <c r="R854" i="43"/>
  <c r="I854" i="43"/>
  <c r="K854" i="43" s="1"/>
  <c r="R853" i="43"/>
  <c r="I853" i="43"/>
  <c r="K853" i="43" s="1"/>
  <c r="R852" i="43"/>
  <c r="I852" i="43"/>
  <c r="K852" i="43" s="1"/>
  <c r="R851" i="43"/>
  <c r="I851" i="43"/>
  <c r="J850" i="43"/>
  <c r="R849" i="43"/>
  <c r="I849" i="43"/>
  <c r="R848" i="43"/>
  <c r="I848" i="43"/>
  <c r="R846" i="43"/>
  <c r="K846" i="43"/>
  <c r="R845" i="43"/>
  <c r="I845" i="43"/>
  <c r="K845" i="43" s="1"/>
  <c r="R844" i="43"/>
  <c r="I844" i="43"/>
  <c r="K844" i="43" s="1"/>
  <c r="R843" i="43"/>
  <c r="I843" i="43"/>
  <c r="K843" i="43" s="1"/>
  <c r="R842" i="43"/>
  <c r="I842" i="43"/>
  <c r="K842" i="43" s="1"/>
  <c r="R841" i="43"/>
  <c r="I841" i="43"/>
  <c r="K841" i="43" s="1"/>
  <c r="R840" i="43"/>
  <c r="I840" i="43"/>
  <c r="J839" i="43"/>
  <c r="R838" i="43"/>
  <c r="I838" i="43"/>
  <c r="Q838" i="43" s="1"/>
  <c r="R837" i="43"/>
  <c r="I837" i="43"/>
  <c r="R836" i="43"/>
  <c r="I836" i="43"/>
  <c r="R835" i="43"/>
  <c r="I835" i="43"/>
  <c r="K835" i="43" s="1"/>
  <c r="R834" i="43"/>
  <c r="Q834" i="43"/>
  <c r="K834" i="43"/>
  <c r="R833" i="43"/>
  <c r="I833" i="43"/>
  <c r="R832" i="43"/>
  <c r="I832" i="43"/>
  <c r="R831" i="43"/>
  <c r="I831" i="43"/>
  <c r="J830" i="43"/>
  <c r="R829" i="43"/>
  <c r="I829" i="43"/>
  <c r="R828" i="43"/>
  <c r="I828" i="43"/>
  <c r="N826" i="43"/>
  <c r="M826" i="43"/>
  <c r="Q826" i="43" s="1"/>
  <c r="R823" i="43"/>
  <c r="Q823" i="43"/>
  <c r="K823" i="43"/>
  <c r="R822" i="43"/>
  <c r="Q822" i="43"/>
  <c r="K822" i="43"/>
  <c r="R821" i="43"/>
  <c r="I821" i="43"/>
  <c r="Q821" i="43" s="1"/>
  <c r="R820" i="43"/>
  <c r="I820" i="43"/>
  <c r="R819" i="43"/>
  <c r="I819" i="43"/>
  <c r="Q819" i="43" s="1"/>
  <c r="R818" i="43"/>
  <c r="I818" i="43"/>
  <c r="K818" i="43" s="1"/>
  <c r="R817" i="43"/>
  <c r="I817" i="43"/>
  <c r="R816" i="43"/>
  <c r="I816" i="43"/>
  <c r="Q816" i="43" s="1"/>
  <c r="J815" i="43"/>
  <c r="R815" i="43" s="1"/>
  <c r="R814" i="43"/>
  <c r="I814" i="43"/>
  <c r="K814" i="43" s="1"/>
  <c r="R813" i="43"/>
  <c r="I813" i="43"/>
  <c r="K813" i="43" s="1"/>
  <c r="R812" i="43"/>
  <c r="I812" i="43"/>
  <c r="K812" i="43" s="1"/>
  <c r="R811" i="43"/>
  <c r="I811" i="43"/>
  <c r="K811" i="43" s="1"/>
  <c r="R810" i="43"/>
  <c r="I810" i="43"/>
  <c r="K810" i="43" s="1"/>
  <c r="R809" i="43"/>
  <c r="Q809" i="43"/>
  <c r="K809" i="43"/>
  <c r="R808" i="43"/>
  <c r="I808" i="43"/>
  <c r="R807" i="43"/>
  <c r="I807" i="43"/>
  <c r="Q807" i="43" s="1"/>
  <c r="R806" i="43"/>
  <c r="I806" i="43"/>
  <c r="Q806" i="43" s="1"/>
  <c r="J805" i="43"/>
  <c r="R804" i="43"/>
  <c r="I804" i="43"/>
  <c r="K804" i="43" s="1"/>
  <c r="R803" i="43"/>
  <c r="I803" i="43"/>
  <c r="K803" i="43" s="1"/>
  <c r="R801" i="43"/>
  <c r="Q801" i="43"/>
  <c r="K801" i="43"/>
  <c r="R800" i="43"/>
  <c r="Q800" i="43"/>
  <c r="K800" i="43"/>
  <c r="R799" i="43"/>
  <c r="I799" i="43"/>
  <c r="K799" i="43" s="1"/>
  <c r="R798" i="43"/>
  <c r="I798" i="43"/>
  <c r="K798" i="43" s="1"/>
  <c r="R797" i="43"/>
  <c r="I797" i="43"/>
  <c r="K797" i="43" s="1"/>
  <c r="R796" i="43"/>
  <c r="I796" i="43"/>
  <c r="K796" i="43" s="1"/>
  <c r="R795" i="43"/>
  <c r="I795" i="43"/>
  <c r="K795" i="43" s="1"/>
  <c r="R794" i="43"/>
  <c r="I794" i="43"/>
  <c r="K794" i="43" s="1"/>
  <c r="R793" i="43"/>
  <c r="I793" i="43"/>
  <c r="J792" i="43"/>
  <c r="R792" i="43" s="1"/>
  <c r="R791" i="43"/>
  <c r="I791" i="43"/>
  <c r="R790" i="43"/>
  <c r="I790" i="43"/>
  <c r="R789" i="43"/>
  <c r="I789" i="43"/>
  <c r="Q789" i="43" s="1"/>
  <c r="R788" i="43"/>
  <c r="I788" i="43"/>
  <c r="R787" i="43"/>
  <c r="I787" i="43"/>
  <c r="R786" i="43"/>
  <c r="I786" i="43"/>
  <c r="R785" i="43"/>
  <c r="I785" i="43"/>
  <c r="Q785" i="43" s="1"/>
  <c r="R784" i="43"/>
  <c r="I784" i="43"/>
  <c r="R783" i="43"/>
  <c r="I783" i="43"/>
  <c r="J782" i="43"/>
  <c r="R782" i="43" s="1"/>
  <c r="R781" i="43"/>
  <c r="I781" i="43"/>
  <c r="R780" i="43"/>
  <c r="I780" i="43"/>
  <c r="R778" i="43"/>
  <c r="Q778" i="43"/>
  <c r="K778" i="43"/>
  <c r="R777" i="43"/>
  <c r="Q777" i="43"/>
  <c r="S777" i="43" s="1"/>
  <c r="K777" i="43"/>
  <c r="R776" i="43"/>
  <c r="I776" i="43"/>
  <c r="Q776" i="43" s="1"/>
  <c r="R775" i="43"/>
  <c r="Q775" i="43"/>
  <c r="K775" i="43"/>
  <c r="R774" i="43"/>
  <c r="Q774" i="43"/>
  <c r="K774" i="43"/>
  <c r="R773" i="43"/>
  <c r="I773" i="43"/>
  <c r="R772" i="43"/>
  <c r="Q772" i="43"/>
  <c r="K772" i="43"/>
  <c r="J771" i="43"/>
  <c r="R771" i="43" s="1"/>
  <c r="R770" i="43"/>
  <c r="I770" i="43"/>
  <c r="Q770" i="43" s="1"/>
  <c r="R769" i="43"/>
  <c r="I769" i="43"/>
  <c r="R766" i="43"/>
  <c r="I766" i="43"/>
  <c r="Q766" i="43" s="1"/>
  <c r="J765" i="43"/>
  <c r="R765" i="43" s="1"/>
  <c r="R763" i="43"/>
  <c r="Q763" i="43"/>
  <c r="K763" i="43"/>
  <c r="R762" i="43"/>
  <c r="I762" i="43"/>
  <c r="R761" i="43"/>
  <c r="Q761" i="43"/>
  <c r="K761" i="43"/>
  <c r="R760" i="43"/>
  <c r="I760" i="43"/>
  <c r="R759" i="43"/>
  <c r="I759" i="43"/>
  <c r="K759" i="43" s="1"/>
  <c r="R758" i="43"/>
  <c r="I758" i="43"/>
  <c r="J757" i="43"/>
  <c r="R756" i="43"/>
  <c r="I756" i="43"/>
  <c r="Q756" i="43" s="1"/>
  <c r="R755" i="43"/>
  <c r="I755" i="43"/>
  <c r="Q755" i="43" s="1"/>
  <c r="R753" i="43"/>
  <c r="Q753" i="43"/>
  <c r="O753" i="43"/>
  <c r="N752" i="43"/>
  <c r="R752" i="43" s="1"/>
  <c r="M752" i="43"/>
  <c r="Q752" i="43" s="1"/>
  <c r="R751" i="43"/>
  <c r="Q751" i="43"/>
  <c r="K751" i="43"/>
  <c r="R750" i="43"/>
  <c r="I750" i="43"/>
  <c r="K750" i="43" s="1"/>
  <c r="R749" i="43"/>
  <c r="I749" i="43"/>
  <c r="Q749" i="43" s="1"/>
  <c r="R748" i="43"/>
  <c r="I748" i="43"/>
  <c r="R747" i="43"/>
  <c r="I747" i="43"/>
  <c r="R746" i="43"/>
  <c r="I746" i="43"/>
  <c r="Q746" i="43" s="1"/>
  <c r="J745" i="43"/>
  <c r="R744" i="43"/>
  <c r="I744" i="43"/>
  <c r="K744" i="43" s="1"/>
  <c r="R743" i="43"/>
  <c r="I743" i="43"/>
  <c r="N742" i="43"/>
  <c r="R741" i="43"/>
  <c r="Q741" i="43"/>
  <c r="K741" i="43"/>
  <c r="R740" i="43"/>
  <c r="Q740" i="43"/>
  <c r="K740" i="43"/>
  <c r="R739" i="43"/>
  <c r="I739" i="43"/>
  <c r="K739" i="43" s="1"/>
  <c r="R738" i="43"/>
  <c r="Q738" i="43"/>
  <c r="K738" i="43"/>
  <c r="J737" i="43"/>
  <c r="R737" i="43" s="1"/>
  <c r="R736" i="43"/>
  <c r="I736" i="43"/>
  <c r="K736" i="43" s="1"/>
  <c r="R735" i="43"/>
  <c r="I735" i="43"/>
  <c r="R733" i="43"/>
  <c r="Q733" i="43"/>
  <c r="O733" i="43"/>
  <c r="N732" i="43"/>
  <c r="M732" i="43"/>
  <c r="R730" i="43"/>
  <c r="I730" i="43"/>
  <c r="R729" i="43"/>
  <c r="I729" i="43"/>
  <c r="R728" i="43"/>
  <c r="I728" i="43"/>
  <c r="R727" i="43"/>
  <c r="I727" i="43"/>
  <c r="K727" i="43" s="1"/>
  <c r="J726" i="43"/>
  <c r="R725" i="43"/>
  <c r="I725" i="43"/>
  <c r="Q725" i="43" s="1"/>
  <c r="R724" i="43"/>
  <c r="I724" i="43"/>
  <c r="R722" i="43"/>
  <c r="M722" i="43"/>
  <c r="N721" i="43"/>
  <c r="R721" i="43" s="1"/>
  <c r="R719" i="43"/>
  <c r="Q719" i="43"/>
  <c r="K719" i="43"/>
  <c r="R718" i="43"/>
  <c r="I718" i="43"/>
  <c r="R717" i="43"/>
  <c r="Q717" i="43"/>
  <c r="K717" i="43"/>
  <c r="R716" i="43"/>
  <c r="I716" i="43"/>
  <c r="R715" i="43"/>
  <c r="I715" i="43"/>
  <c r="Q715" i="43" s="1"/>
  <c r="J714" i="43"/>
  <c r="R713" i="43"/>
  <c r="I713" i="43"/>
  <c r="R712" i="43"/>
  <c r="I712" i="43"/>
  <c r="K712" i="43" s="1"/>
  <c r="R710" i="43"/>
  <c r="M710" i="43"/>
  <c r="O710" i="43" s="1"/>
  <c r="N709" i="43"/>
  <c r="R708" i="43"/>
  <c r="Q708" i="43"/>
  <c r="O708" i="43"/>
  <c r="N707" i="43"/>
  <c r="M707" i="43"/>
  <c r="Q707" i="43" s="1"/>
  <c r="R705" i="43"/>
  <c r="Q705" i="43"/>
  <c r="K705" i="43"/>
  <c r="R704" i="43"/>
  <c r="I704" i="43"/>
  <c r="Q704" i="43" s="1"/>
  <c r="R703" i="43"/>
  <c r="Q703" i="43"/>
  <c r="K703" i="43"/>
  <c r="R702" i="43"/>
  <c r="I702" i="43"/>
  <c r="R701" i="43"/>
  <c r="Q701" i="43"/>
  <c r="K701" i="43"/>
  <c r="J700" i="43"/>
  <c r="J697" i="43" s="1"/>
  <c r="R699" i="43"/>
  <c r="I699" i="43"/>
  <c r="R698" i="43"/>
  <c r="I698" i="43"/>
  <c r="K698" i="43" s="1"/>
  <c r="R696" i="43"/>
  <c r="Q696" i="43"/>
  <c r="O696" i="43"/>
  <c r="N695" i="43"/>
  <c r="R695" i="43" s="1"/>
  <c r="M695" i="43"/>
  <c r="R692" i="43"/>
  <c r="Q692" i="43"/>
  <c r="K692" i="43"/>
  <c r="R691" i="43"/>
  <c r="I691" i="43"/>
  <c r="Q691" i="43" s="1"/>
  <c r="R690" i="43"/>
  <c r="I690" i="43"/>
  <c r="Q690" i="43" s="1"/>
  <c r="R689" i="43"/>
  <c r="I689" i="43"/>
  <c r="K689" i="43" s="1"/>
  <c r="R688" i="43"/>
  <c r="I688" i="43"/>
  <c r="Q688" i="43" s="1"/>
  <c r="J687" i="43"/>
  <c r="R687" i="43" s="1"/>
  <c r="R686" i="43"/>
  <c r="I686" i="43"/>
  <c r="R685" i="43"/>
  <c r="I685" i="43"/>
  <c r="R683" i="43"/>
  <c r="Q683" i="43"/>
  <c r="K683" i="43"/>
  <c r="R682" i="43"/>
  <c r="I682" i="43"/>
  <c r="R681" i="43"/>
  <c r="I681" i="43"/>
  <c r="Q681" i="43" s="1"/>
  <c r="R680" i="43"/>
  <c r="I680" i="43"/>
  <c r="R679" i="43"/>
  <c r="I679" i="43"/>
  <c r="J678" i="43"/>
  <c r="R677" i="43"/>
  <c r="I677" i="43"/>
  <c r="R676" i="43"/>
  <c r="I676" i="43"/>
  <c r="R674" i="43"/>
  <c r="R673" i="43" s="1"/>
  <c r="Q674" i="43"/>
  <c r="Q673" i="43" s="1"/>
  <c r="Q672" i="43" s="1"/>
  <c r="O674" i="43"/>
  <c r="N673" i="43"/>
  <c r="M673" i="43"/>
  <c r="M672" i="43" s="1"/>
  <c r="M663" i="43" s="1"/>
  <c r="R671" i="43"/>
  <c r="Q671" i="43"/>
  <c r="K671" i="43"/>
  <c r="R670" i="43"/>
  <c r="I670" i="43"/>
  <c r="K670" i="43" s="1"/>
  <c r="R669" i="43"/>
  <c r="I669" i="43"/>
  <c r="R668" i="43"/>
  <c r="I668" i="43"/>
  <c r="R667" i="43"/>
  <c r="I667" i="43"/>
  <c r="J666" i="43"/>
  <c r="R665" i="43"/>
  <c r="I665" i="43"/>
  <c r="Q665" i="43" s="1"/>
  <c r="R664" i="43"/>
  <c r="I664" i="43"/>
  <c r="K664" i="43" s="1"/>
  <c r="R662" i="43"/>
  <c r="Q662" i="43"/>
  <c r="K662" i="43"/>
  <c r="R661" i="43"/>
  <c r="I661" i="43"/>
  <c r="R660" i="43"/>
  <c r="Q660" i="43"/>
  <c r="K660" i="43"/>
  <c r="R659" i="43"/>
  <c r="I659" i="43"/>
  <c r="K659" i="43" s="1"/>
  <c r="R658" i="43"/>
  <c r="I658" i="43"/>
  <c r="Q658" i="43" s="1"/>
  <c r="J657" i="43"/>
  <c r="R656" i="43"/>
  <c r="I656" i="43"/>
  <c r="R655" i="43"/>
  <c r="I655" i="43"/>
  <c r="R653" i="43"/>
  <c r="Q653" i="43"/>
  <c r="K653" i="43"/>
  <c r="R652" i="43"/>
  <c r="I652" i="43"/>
  <c r="K652" i="43" s="1"/>
  <c r="R651" i="43"/>
  <c r="I651" i="43"/>
  <c r="R650" i="43"/>
  <c r="I650" i="43"/>
  <c r="Q650" i="43" s="1"/>
  <c r="R649" i="43"/>
  <c r="I649" i="43"/>
  <c r="J648" i="43"/>
  <c r="J645" i="43" s="1"/>
  <c r="R645" i="43" s="1"/>
  <c r="R647" i="43"/>
  <c r="I647" i="43"/>
  <c r="Q647" i="43" s="1"/>
  <c r="R646" i="43"/>
  <c r="I646" i="43"/>
  <c r="R644" i="43"/>
  <c r="Q644" i="43"/>
  <c r="K644" i="43"/>
  <c r="R643" i="43"/>
  <c r="I643" i="43"/>
  <c r="Q643" i="43" s="1"/>
  <c r="R642" i="43"/>
  <c r="I642" i="43"/>
  <c r="K642" i="43" s="1"/>
  <c r="R641" i="43"/>
  <c r="I641" i="43"/>
  <c r="Q641" i="43" s="1"/>
  <c r="R640" i="43"/>
  <c r="I640" i="43"/>
  <c r="J639" i="43"/>
  <c r="R639" i="43" s="1"/>
  <c r="R638" i="43"/>
  <c r="I638" i="43"/>
  <c r="R637" i="43"/>
  <c r="I637" i="43"/>
  <c r="R635" i="43"/>
  <c r="Q635" i="43"/>
  <c r="O635" i="43"/>
  <c r="N634" i="43"/>
  <c r="M634" i="43"/>
  <c r="R632" i="43"/>
  <c r="Q632" i="43"/>
  <c r="K632" i="43"/>
  <c r="R631" i="43"/>
  <c r="I631" i="43"/>
  <c r="R630" i="43"/>
  <c r="I630" i="43"/>
  <c r="Q630" i="43" s="1"/>
  <c r="R629" i="43"/>
  <c r="I629" i="43"/>
  <c r="R628" i="43"/>
  <c r="I628" i="43"/>
  <c r="Q628" i="43" s="1"/>
  <c r="J627" i="43"/>
  <c r="R627" i="43" s="1"/>
  <c r="R626" i="43"/>
  <c r="I626" i="43"/>
  <c r="Q626" i="43" s="1"/>
  <c r="R625" i="43"/>
  <c r="I625" i="43"/>
  <c r="R623" i="43"/>
  <c r="I623" i="43"/>
  <c r="R622" i="43"/>
  <c r="I622" i="43"/>
  <c r="Q622" i="43" s="1"/>
  <c r="R621" i="43"/>
  <c r="Q621" i="43"/>
  <c r="K621" i="43"/>
  <c r="R620" i="43"/>
  <c r="I620" i="43"/>
  <c r="Q620" i="43" s="1"/>
  <c r="R619" i="43"/>
  <c r="I619" i="43"/>
  <c r="K619" i="43" s="1"/>
  <c r="J618" i="43"/>
  <c r="R617" i="43"/>
  <c r="I617" i="43"/>
  <c r="R616" i="43"/>
  <c r="I616" i="43"/>
  <c r="R614" i="43"/>
  <c r="Q614" i="43"/>
  <c r="K614" i="43"/>
  <c r="R613" i="43"/>
  <c r="I613" i="43"/>
  <c r="R612" i="43"/>
  <c r="Q612" i="43"/>
  <c r="K612" i="43"/>
  <c r="R611" i="43"/>
  <c r="I611" i="43"/>
  <c r="K611" i="43" s="1"/>
  <c r="R610" i="43"/>
  <c r="I610" i="43"/>
  <c r="Q610" i="43" s="1"/>
  <c r="J609" i="43"/>
  <c r="R609" i="43" s="1"/>
  <c r="R608" i="43"/>
  <c r="I608" i="43"/>
  <c r="K608" i="43" s="1"/>
  <c r="R607" i="43"/>
  <c r="I607" i="43"/>
  <c r="R605" i="43"/>
  <c r="Q605" i="43"/>
  <c r="K605" i="43"/>
  <c r="J604" i="43"/>
  <c r="R604" i="43" s="1"/>
  <c r="I604" i="43"/>
  <c r="Q604" i="43" s="1"/>
  <c r="R603" i="43"/>
  <c r="Q603" i="43"/>
  <c r="K603" i="43"/>
  <c r="J602" i="43"/>
  <c r="R602" i="43" s="1"/>
  <c r="I602" i="43"/>
  <c r="Q602" i="43" s="1"/>
  <c r="N600" i="43"/>
  <c r="R600" i="43" s="1"/>
  <c r="M600" i="43"/>
  <c r="R597" i="43"/>
  <c r="Q597" i="43"/>
  <c r="K597" i="43"/>
  <c r="R596" i="43"/>
  <c r="I596" i="43"/>
  <c r="Q596" i="43" s="1"/>
  <c r="R595" i="43"/>
  <c r="Q595" i="43"/>
  <c r="K595" i="43"/>
  <c r="R594" i="43"/>
  <c r="I594" i="43"/>
  <c r="R593" i="43"/>
  <c r="I593" i="43"/>
  <c r="K593" i="43" s="1"/>
  <c r="R592" i="43"/>
  <c r="I592" i="43"/>
  <c r="J591" i="43"/>
  <c r="R590" i="43"/>
  <c r="I590" i="43"/>
  <c r="Q590" i="43" s="1"/>
  <c r="R589" i="43"/>
  <c r="I589" i="43"/>
  <c r="K589" i="43" s="1"/>
  <c r="R587" i="43"/>
  <c r="I587" i="43"/>
  <c r="K587" i="43" s="1"/>
  <c r="R586" i="43"/>
  <c r="I586" i="43"/>
  <c r="Q586" i="43" s="1"/>
  <c r="R585" i="43"/>
  <c r="I585" i="43"/>
  <c r="R584" i="43"/>
  <c r="I584" i="43"/>
  <c r="Q584" i="43" s="1"/>
  <c r="R583" i="43"/>
  <c r="I583" i="43"/>
  <c r="K583" i="43" s="1"/>
  <c r="R582" i="43"/>
  <c r="I582" i="43"/>
  <c r="Q582" i="43" s="1"/>
  <c r="R581" i="43"/>
  <c r="I581" i="43"/>
  <c r="R580" i="43"/>
  <c r="I580" i="43"/>
  <c r="Q580" i="43" s="1"/>
  <c r="J579" i="43"/>
  <c r="R579" i="43" s="1"/>
  <c r="R578" i="43"/>
  <c r="Q578" i="43"/>
  <c r="I578" i="43"/>
  <c r="K578" i="43" s="1"/>
  <c r="J577" i="43"/>
  <c r="R577" i="43" s="1"/>
  <c r="B575" i="43"/>
  <c r="B576" i="43" s="1"/>
  <c r="B577" i="43" s="1"/>
  <c r="B578" i="43" s="1"/>
  <c r="B579" i="43" s="1"/>
  <c r="B580" i="43" s="1"/>
  <c r="B581" i="43" s="1"/>
  <c r="B582" i="43" s="1"/>
  <c r="B583" i="43" s="1"/>
  <c r="B584" i="43" s="1"/>
  <c r="B585" i="43" s="1"/>
  <c r="B586" i="43" s="1"/>
  <c r="B587" i="43" s="1"/>
  <c r="B588" i="43" s="1"/>
  <c r="B589" i="43" s="1"/>
  <c r="B590" i="43" s="1"/>
  <c r="B591" i="43" s="1"/>
  <c r="B592" i="43" s="1"/>
  <c r="B593" i="43" s="1"/>
  <c r="B594" i="43" s="1"/>
  <c r="B595" i="43" s="1"/>
  <c r="B596" i="43" s="1"/>
  <c r="B597" i="43" s="1"/>
  <c r="B598" i="43" s="1"/>
  <c r="B599" i="43" s="1"/>
  <c r="B600" i="43" s="1"/>
  <c r="B601" i="43" s="1"/>
  <c r="B602" i="43" s="1"/>
  <c r="B603" i="43" s="1"/>
  <c r="B604" i="43" s="1"/>
  <c r="B605" i="43" s="1"/>
  <c r="B606" i="43" s="1"/>
  <c r="B607" i="43" s="1"/>
  <c r="B608" i="43" s="1"/>
  <c r="B609" i="43" s="1"/>
  <c r="B610" i="43" s="1"/>
  <c r="B611" i="43" s="1"/>
  <c r="B612" i="43" s="1"/>
  <c r="B613" i="43" s="1"/>
  <c r="B614" i="43" s="1"/>
  <c r="B615" i="43" s="1"/>
  <c r="B616" i="43" s="1"/>
  <c r="B617" i="43" s="1"/>
  <c r="B618" i="43" s="1"/>
  <c r="B619" i="43" s="1"/>
  <c r="B620" i="43" s="1"/>
  <c r="B621" i="43" s="1"/>
  <c r="B622" i="43" s="1"/>
  <c r="B623" i="43" s="1"/>
  <c r="B624" i="43" s="1"/>
  <c r="B625" i="43" s="1"/>
  <c r="B626" i="43" s="1"/>
  <c r="B627" i="43" s="1"/>
  <c r="B628" i="43" s="1"/>
  <c r="B629" i="43" s="1"/>
  <c r="B630" i="43" s="1"/>
  <c r="B631" i="43" s="1"/>
  <c r="B632" i="43" s="1"/>
  <c r="B633" i="43" s="1"/>
  <c r="B634" i="43" s="1"/>
  <c r="B635" i="43" s="1"/>
  <c r="B636" i="43" s="1"/>
  <c r="B637" i="43" s="1"/>
  <c r="B638" i="43" s="1"/>
  <c r="B639" i="43" s="1"/>
  <c r="B640" i="43" s="1"/>
  <c r="B641" i="43" s="1"/>
  <c r="B642" i="43" s="1"/>
  <c r="B643" i="43" s="1"/>
  <c r="B644" i="43" s="1"/>
  <c r="B645" i="43" s="1"/>
  <c r="B646" i="43" s="1"/>
  <c r="B647" i="43" s="1"/>
  <c r="B648" i="43" s="1"/>
  <c r="B649" i="43" s="1"/>
  <c r="B650" i="43" s="1"/>
  <c r="B651" i="43" s="1"/>
  <c r="B652" i="43" s="1"/>
  <c r="B653" i="43" s="1"/>
  <c r="B654" i="43" s="1"/>
  <c r="B655" i="43" s="1"/>
  <c r="B656" i="43" s="1"/>
  <c r="B657" i="43" s="1"/>
  <c r="B658" i="43" s="1"/>
  <c r="B659" i="43" s="1"/>
  <c r="B660" i="43" s="1"/>
  <c r="B661" i="43" s="1"/>
  <c r="B662" i="43" s="1"/>
  <c r="B663" i="43" s="1"/>
  <c r="B664" i="43" s="1"/>
  <c r="B665" i="43" s="1"/>
  <c r="B666" i="43" s="1"/>
  <c r="B667" i="43" s="1"/>
  <c r="B668" i="43" s="1"/>
  <c r="B669" i="43" s="1"/>
  <c r="B670" i="43" s="1"/>
  <c r="B671" i="43" s="1"/>
  <c r="B672" i="43" s="1"/>
  <c r="B673" i="43" s="1"/>
  <c r="B674" i="43" s="1"/>
  <c r="B675" i="43" s="1"/>
  <c r="B676" i="43" s="1"/>
  <c r="B677" i="43" s="1"/>
  <c r="B678" i="43" s="1"/>
  <c r="B679" i="43" s="1"/>
  <c r="B680" i="43" s="1"/>
  <c r="B681" i="43" s="1"/>
  <c r="B682" i="43" s="1"/>
  <c r="B683" i="43" s="1"/>
  <c r="B684" i="43" s="1"/>
  <c r="B685" i="43" s="1"/>
  <c r="B686" i="43" s="1"/>
  <c r="B687" i="43" s="1"/>
  <c r="B688" i="43" s="1"/>
  <c r="B689" i="43" s="1"/>
  <c r="B690" i="43" s="1"/>
  <c r="B691" i="43" s="1"/>
  <c r="B692" i="43" s="1"/>
  <c r="B693" i="43" s="1"/>
  <c r="B694" i="43" s="1"/>
  <c r="B695" i="43" s="1"/>
  <c r="B696" i="43" s="1"/>
  <c r="B697" i="43" s="1"/>
  <c r="B698" i="43" s="1"/>
  <c r="B699" i="43" s="1"/>
  <c r="B700" i="43" s="1"/>
  <c r="B701" i="43" s="1"/>
  <c r="B702" i="43" s="1"/>
  <c r="B703" i="43" s="1"/>
  <c r="B704" i="43" s="1"/>
  <c r="B705" i="43" s="1"/>
  <c r="B706" i="43" s="1"/>
  <c r="B707" i="43" s="1"/>
  <c r="B708" i="43" s="1"/>
  <c r="B709" i="43" s="1"/>
  <c r="B710" i="43" s="1"/>
  <c r="B711" i="43" s="1"/>
  <c r="B712" i="43" s="1"/>
  <c r="B713" i="43" s="1"/>
  <c r="B714" i="43" s="1"/>
  <c r="B715" i="43" s="1"/>
  <c r="B716" i="43" s="1"/>
  <c r="B717" i="43" s="1"/>
  <c r="B718" i="43" s="1"/>
  <c r="B719" i="43" s="1"/>
  <c r="B720" i="43" s="1"/>
  <c r="B721" i="43" s="1"/>
  <c r="B722" i="43" s="1"/>
  <c r="B723" i="43" s="1"/>
  <c r="B724" i="43" s="1"/>
  <c r="B725" i="43" s="1"/>
  <c r="B726" i="43" s="1"/>
  <c r="B727" i="43" s="1"/>
  <c r="B728" i="43" s="1"/>
  <c r="B729" i="43" s="1"/>
  <c r="B730" i="43" s="1"/>
  <c r="B731" i="43" s="1"/>
  <c r="B732" i="43" s="1"/>
  <c r="B733" i="43" s="1"/>
  <c r="B734" i="43" s="1"/>
  <c r="B735" i="43" s="1"/>
  <c r="B736" i="43" s="1"/>
  <c r="B737" i="43" s="1"/>
  <c r="B738" i="43" s="1"/>
  <c r="B739" i="43" s="1"/>
  <c r="B740" i="43" s="1"/>
  <c r="B741" i="43" s="1"/>
  <c r="B742" i="43" s="1"/>
  <c r="B743" i="43" s="1"/>
  <c r="B744" i="43" s="1"/>
  <c r="B745" i="43" s="1"/>
  <c r="B746" i="43" s="1"/>
  <c r="B747" i="43" s="1"/>
  <c r="B748" i="43" s="1"/>
  <c r="B749" i="43" s="1"/>
  <c r="B750" i="43" s="1"/>
  <c r="B751" i="43" s="1"/>
  <c r="B752" i="43" s="1"/>
  <c r="B753" i="43" s="1"/>
  <c r="B754" i="43" s="1"/>
  <c r="B755" i="43" s="1"/>
  <c r="B756" i="43" s="1"/>
  <c r="B757" i="43" s="1"/>
  <c r="B758" i="43" s="1"/>
  <c r="B759" i="43" s="1"/>
  <c r="B760" i="43" s="1"/>
  <c r="B761" i="43" s="1"/>
  <c r="B762" i="43" s="1"/>
  <c r="B763" i="43" s="1"/>
  <c r="B764" i="43" s="1"/>
  <c r="B765" i="43" s="1"/>
  <c r="B766" i="43" s="1"/>
  <c r="B767" i="43" s="1"/>
  <c r="B768" i="43" s="1"/>
  <c r="B769" i="43" s="1"/>
  <c r="B770" i="43" s="1"/>
  <c r="B771" i="43" s="1"/>
  <c r="B772" i="43" s="1"/>
  <c r="B773" i="43" s="1"/>
  <c r="B774" i="43" s="1"/>
  <c r="B775" i="43" s="1"/>
  <c r="B776" i="43" s="1"/>
  <c r="B777" i="43" s="1"/>
  <c r="B778" i="43" s="1"/>
  <c r="B779" i="43" s="1"/>
  <c r="B780" i="43" s="1"/>
  <c r="B781" i="43" s="1"/>
  <c r="B782" i="43" s="1"/>
  <c r="B783" i="43" s="1"/>
  <c r="B784" i="43" s="1"/>
  <c r="B785" i="43" s="1"/>
  <c r="B786" i="43" s="1"/>
  <c r="B787" i="43" s="1"/>
  <c r="B788" i="43" s="1"/>
  <c r="B789" i="43" s="1"/>
  <c r="B790" i="43" s="1"/>
  <c r="B791" i="43" s="1"/>
  <c r="B792" i="43" s="1"/>
  <c r="B793" i="43" s="1"/>
  <c r="B794" i="43" s="1"/>
  <c r="B795" i="43" s="1"/>
  <c r="B796" i="43" s="1"/>
  <c r="B797" i="43" s="1"/>
  <c r="B798" i="43" s="1"/>
  <c r="B799" i="43" s="1"/>
  <c r="B800" i="43" s="1"/>
  <c r="B801" i="43" s="1"/>
  <c r="B802" i="43" s="1"/>
  <c r="B803" i="43" s="1"/>
  <c r="B804" i="43" s="1"/>
  <c r="B805" i="43" s="1"/>
  <c r="B806" i="43" s="1"/>
  <c r="B807" i="43" s="1"/>
  <c r="B808" i="43" s="1"/>
  <c r="B809" i="43" s="1"/>
  <c r="B810" i="43" s="1"/>
  <c r="B811" i="43" s="1"/>
  <c r="B812" i="43" s="1"/>
  <c r="B813" i="43" s="1"/>
  <c r="B814" i="43" s="1"/>
  <c r="B815" i="43" s="1"/>
  <c r="B816" i="43" s="1"/>
  <c r="B817" i="43" s="1"/>
  <c r="B818" i="43" s="1"/>
  <c r="B819" i="43" s="1"/>
  <c r="B820" i="43" s="1"/>
  <c r="B821" i="43" s="1"/>
  <c r="B822" i="43" s="1"/>
  <c r="B823" i="43" s="1"/>
  <c r="B824" i="43" s="1"/>
  <c r="B825" i="43" s="1"/>
  <c r="B826" i="43" s="1"/>
  <c r="B827" i="43" s="1"/>
  <c r="B828" i="43" s="1"/>
  <c r="B829" i="43" s="1"/>
  <c r="B830" i="43" s="1"/>
  <c r="B831" i="43" s="1"/>
  <c r="B832" i="43" s="1"/>
  <c r="B833" i="43" s="1"/>
  <c r="B834" i="43" s="1"/>
  <c r="B835" i="43" s="1"/>
  <c r="B836" i="43" s="1"/>
  <c r="B837" i="43" s="1"/>
  <c r="B838" i="43" s="1"/>
  <c r="B839" i="43" s="1"/>
  <c r="B840" i="43" s="1"/>
  <c r="B841" i="43" s="1"/>
  <c r="B842" i="43" s="1"/>
  <c r="B843" i="43" s="1"/>
  <c r="B844" i="43" s="1"/>
  <c r="B845" i="43" s="1"/>
  <c r="B846" i="43" s="1"/>
  <c r="B847" i="43" s="1"/>
  <c r="B848" i="43" s="1"/>
  <c r="B849" i="43" s="1"/>
  <c r="B850" i="43" s="1"/>
  <c r="B851" i="43" s="1"/>
  <c r="B852" i="43" s="1"/>
  <c r="B853" i="43" s="1"/>
  <c r="B854" i="43" s="1"/>
  <c r="B855" i="43" s="1"/>
  <c r="B856" i="43" s="1"/>
  <c r="B857" i="43" s="1"/>
  <c r="B858" i="43" s="1"/>
  <c r="B859" i="43" s="1"/>
  <c r="B860" i="43" s="1"/>
  <c r="B861" i="43" s="1"/>
  <c r="B862" i="43" s="1"/>
  <c r="B863" i="43" s="1"/>
  <c r="B864" i="43" s="1"/>
  <c r="B865" i="43" s="1"/>
  <c r="B866" i="43" s="1"/>
  <c r="B867" i="43" s="1"/>
  <c r="B868" i="43" s="1"/>
  <c r="B869" i="43" s="1"/>
  <c r="B870" i="43" s="1"/>
  <c r="B871" i="43" s="1"/>
  <c r="B872" i="43" s="1"/>
  <c r="B873" i="43" s="1"/>
  <c r="B874" i="43" s="1"/>
  <c r="B875" i="43" s="1"/>
  <c r="B876" i="43" s="1"/>
  <c r="B877" i="43" s="1"/>
  <c r="B878" i="43" s="1"/>
  <c r="B879" i="43" s="1"/>
  <c r="B880" i="43" s="1"/>
  <c r="B881" i="43" s="1"/>
  <c r="B882" i="43" s="1"/>
  <c r="B883" i="43" s="1"/>
  <c r="B884" i="43" s="1"/>
  <c r="B885" i="43" s="1"/>
  <c r="B886" i="43" s="1"/>
  <c r="B887" i="43" s="1"/>
  <c r="B888" i="43" s="1"/>
  <c r="B889" i="43" s="1"/>
  <c r="B890" i="43" s="1"/>
  <c r="B891" i="43" s="1"/>
  <c r="B892" i="43" s="1"/>
  <c r="B893" i="43" s="1"/>
  <c r="B894" i="43" s="1"/>
  <c r="B895" i="43" s="1"/>
  <c r="B896" i="43" s="1"/>
  <c r="B897" i="43" s="1"/>
  <c r="B898" i="43" s="1"/>
  <c r="B899" i="43" s="1"/>
  <c r="B900" i="43" s="1"/>
  <c r="B901" i="43" s="1"/>
  <c r="B902" i="43" s="1"/>
  <c r="B903" i="43" s="1"/>
  <c r="B904" i="43" s="1"/>
  <c r="B905" i="43" s="1"/>
  <c r="B906" i="43" s="1"/>
  <c r="B907" i="43" s="1"/>
  <c r="B908" i="43" s="1"/>
  <c r="B909" i="43" s="1"/>
  <c r="B910" i="43" s="1"/>
  <c r="B911" i="43" s="1"/>
  <c r="B912" i="43" s="1"/>
  <c r="B913" i="43" s="1"/>
  <c r="B914" i="43" s="1"/>
  <c r="B915" i="43" s="1"/>
  <c r="B916" i="43" s="1"/>
  <c r="B917" i="43" s="1"/>
  <c r="B918" i="43" s="1"/>
  <c r="B919" i="43" s="1"/>
  <c r="B920" i="43" s="1"/>
  <c r="B921" i="43" s="1"/>
  <c r="B922" i="43" s="1"/>
  <c r="B923" i="43" s="1"/>
  <c r="B924" i="43" s="1"/>
  <c r="B925" i="43" s="1"/>
  <c r="B926" i="43" s="1"/>
  <c r="B927" i="43" s="1"/>
  <c r="B928" i="43" s="1"/>
  <c r="B929" i="43" s="1"/>
  <c r="B930" i="43" s="1"/>
  <c r="B931" i="43" s="1"/>
  <c r="B932" i="43" s="1"/>
  <c r="B933" i="43" s="1"/>
  <c r="B934" i="43" s="1"/>
  <c r="B935" i="43" s="1"/>
  <c r="B936" i="43" s="1"/>
  <c r="B937" i="43" s="1"/>
  <c r="B938" i="43" s="1"/>
  <c r="B939" i="43" s="1"/>
  <c r="B940" i="43" s="1"/>
  <c r="B941" i="43" s="1"/>
  <c r="B942" i="43" s="1"/>
  <c r="B943" i="43" s="1"/>
  <c r="B944" i="43" s="1"/>
  <c r="B945" i="43" s="1"/>
  <c r="B946" i="43" s="1"/>
  <c r="B947" i="43" s="1"/>
  <c r="B948" i="43" s="1"/>
  <c r="B949" i="43" s="1"/>
  <c r="B950" i="43" s="1"/>
  <c r="B951" i="43" s="1"/>
  <c r="B952" i="43" s="1"/>
  <c r="B953" i="43" s="1"/>
  <c r="B954" i="43" s="1"/>
  <c r="B955" i="43" s="1"/>
  <c r="B956" i="43" s="1"/>
  <c r="B957" i="43" s="1"/>
  <c r="B958" i="43" s="1"/>
  <c r="B959" i="43" s="1"/>
  <c r="B960" i="43" s="1"/>
  <c r="B961" i="43" s="1"/>
  <c r="B962" i="43" s="1"/>
  <c r="B963" i="43" s="1"/>
  <c r="B964" i="43" s="1"/>
  <c r="B965" i="43" s="1"/>
  <c r="B966" i="43" s="1"/>
  <c r="B967" i="43" s="1"/>
  <c r="B968" i="43" s="1"/>
  <c r="B969" i="43" s="1"/>
  <c r="B970" i="43" s="1"/>
  <c r="B971" i="43" s="1"/>
  <c r="B972" i="43" s="1"/>
  <c r="B973" i="43" s="1"/>
  <c r="B974" i="43" s="1"/>
  <c r="B975" i="43" s="1"/>
  <c r="B976" i="43" s="1"/>
  <c r="B977" i="43" s="1"/>
  <c r="B978" i="43" s="1"/>
  <c r="B979" i="43" s="1"/>
  <c r="B980" i="43" s="1"/>
  <c r="B981" i="43" s="1"/>
  <c r="B982" i="43" s="1"/>
  <c r="B983" i="43" s="1"/>
  <c r="B984" i="43" s="1"/>
  <c r="B985" i="43" s="1"/>
  <c r="B986" i="43" s="1"/>
  <c r="B987" i="43" s="1"/>
  <c r="B988" i="43" s="1"/>
  <c r="B989" i="43" s="1"/>
  <c r="B990" i="43" s="1"/>
  <c r="B991" i="43" s="1"/>
  <c r="B992" i="43" s="1"/>
  <c r="B993" i="43" s="1"/>
  <c r="B994" i="43" s="1"/>
  <c r="B995" i="43" s="1"/>
  <c r="B996" i="43" s="1"/>
  <c r="B997" i="43" s="1"/>
  <c r="B998" i="43" s="1"/>
  <c r="B999" i="43" s="1"/>
  <c r="B1000" i="43" s="1"/>
  <c r="B1001" i="43" s="1"/>
  <c r="B1002" i="43" s="1"/>
  <c r="B1003" i="43" s="1"/>
  <c r="B1004" i="43" s="1"/>
  <c r="B1005" i="43" s="1"/>
  <c r="B1006" i="43" s="1"/>
  <c r="B1007" i="43" s="1"/>
  <c r="B1008" i="43" s="1"/>
  <c r="B1009" i="43" s="1"/>
  <c r="B1010" i="43" s="1"/>
  <c r="B1011" i="43" s="1"/>
  <c r="B1012" i="43" s="1"/>
  <c r="B1013" i="43" s="1"/>
  <c r="B1014" i="43" s="1"/>
  <c r="B1015" i="43" s="1"/>
  <c r="B1016" i="43" s="1"/>
  <c r="B1017" i="43" s="1"/>
  <c r="B1018" i="43" s="1"/>
  <c r="B1019" i="43" s="1"/>
  <c r="B1020" i="43" s="1"/>
  <c r="B1021" i="43" s="1"/>
  <c r="B1022" i="43" s="1"/>
  <c r="B1023" i="43" s="1"/>
  <c r="B1024" i="43" s="1"/>
  <c r="B1025" i="43" s="1"/>
  <c r="B1026" i="43" s="1"/>
  <c r="B1027" i="43" s="1"/>
  <c r="B1028" i="43" s="1"/>
  <c r="B1029" i="43" s="1"/>
  <c r="B1030" i="43" s="1"/>
  <c r="B1031" i="43" s="1"/>
  <c r="B1032" i="43" s="1"/>
  <c r="B1033" i="43" s="1"/>
  <c r="B1034" i="43" s="1"/>
  <c r="B1035" i="43" s="1"/>
  <c r="B1036" i="43" s="1"/>
  <c r="B1037" i="43" s="1"/>
  <c r="B1038" i="43" s="1"/>
  <c r="B1039" i="43" s="1"/>
  <c r="B1040" i="43" s="1"/>
  <c r="B1041" i="43" s="1"/>
  <c r="B1042" i="43" s="1"/>
  <c r="B1043" i="43" s="1"/>
  <c r="B1044" i="43" s="1"/>
  <c r="B1045" i="43" s="1"/>
  <c r="B1046" i="43" s="1"/>
  <c r="B1047" i="43" s="1"/>
  <c r="B1048" i="43" s="1"/>
  <c r="B1049" i="43" s="1"/>
  <c r="B1050" i="43" s="1"/>
  <c r="B1051" i="43" s="1"/>
  <c r="B1052" i="43" s="1"/>
  <c r="B1053" i="43" s="1"/>
  <c r="B1054" i="43" s="1"/>
  <c r="B1055" i="43" s="1"/>
  <c r="B1056" i="43" s="1"/>
  <c r="B1057" i="43" s="1"/>
  <c r="B1058" i="43" s="1"/>
  <c r="B1059" i="43" s="1"/>
  <c r="B1060" i="43" s="1"/>
  <c r="B1061" i="43" s="1"/>
  <c r="B1062" i="43" s="1"/>
  <c r="B1063" i="43" s="1"/>
  <c r="B1064" i="43" s="1"/>
  <c r="B1065" i="43" s="1"/>
  <c r="B1066" i="43" s="1"/>
  <c r="B1067" i="43" s="1"/>
  <c r="B1068" i="43" s="1"/>
  <c r="B1069" i="43" s="1"/>
  <c r="B1070" i="43" s="1"/>
  <c r="B1071" i="43" s="1"/>
  <c r="B1072" i="43" s="1"/>
  <c r="B1073" i="43" s="1"/>
  <c r="B1074" i="43" s="1"/>
  <c r="B1075" i="43" s="1"/>
  <c r="B1076" i="43" s="1"/>
  <c r="B1077" i="43" s="1"/>
  <c r="B1078" i="43" s="1"/>
  <c r="B1079" i="43" s="1"/>
  <c r="B1080" i="43" s="1"/>
  <c r="B1081" i="43" s="1"/>
  <c r="B1082" i="43" s="1"/>
  <c r="B1083" i="43" s="1"/>
  <c r="B1084" i="43" s="1"/>
  <c r="B1085" i="43" s="1"/>
  <c r="B1086" i="43" s="1"/>
  <c r="B1087" i="43" s="1"/>
  <c r="B1088" i="43" s="1"/>
  <c r="B1089" i="43" s="1"/>
  <c r="B1090" i="43" s="1"/>
  <c r="B1091" i="43" s="1"/>
  <c r="B1092" i="43" s="1"/>
  <c r="B1093" i="43" s="1"/>
  <c r="B1094" i="43" s="1"/>
  <c r="B1095" i="43" s="1"/>
  <c r="B1096" i="43" s="1"/>
  <c r="B1097" i="43" s="1"/>
  <c r="B1098" i="43" s="1"/>
  <c r="B1099" i="43" s="1"/>
  <c r="B1100" i="43" s="1"/>
  <c r="B1101" i="43" s="1"/>
  <c r="B1102" i="43" s="1"/>
  <c r="B1103" i="43" s="1"/>
  <c r="B1104" i="43" s="1"/>
  <c r="B1105" i="43" s="1"/>
  <c r="B1106" i="43" s="1"/>
  <c r="B1107" i="43" s="1"/>
  <c r="B1108" i="43" s="1"/>
  <c r="B1109" i="43" s="1"/>
  <c r="B1110" i="43" s="1"/>
  <c r="B1111" i="43" s="1"/>
  <c r="B1112" i="43" s="1"/>
  <c r="B1113" i="43" s="1"/>
  <c r="B1114" i="43" s="1"/>
  <c r="B1115" i="43" s="1"/>
  <c r="B1116" i="43" s="1"/>
  <c r="B1117" i="43" s="1"/>
  <c r="B1118" i="43" s="1"/>
  <c r="B1119" i="43" s="1"/>
  <c r="B1120" i="43" s="1"/>
  <c r="B1121" i="43" s="1"/>
  <c r="B1122" i="43" s="1"/>
  <c r="B1123" i="43" s="1"/>
  <c r="B1124" i="43" s="1"/>
  <c r="B1125" i="43" s="1"/>
  <c r="B1126" i="43" s="1"/>
  <c r="B1127" i="43" s="1"/>
  <c r="B1128" i="43" s="1"/>
  <c r="B1129" i="43" s="1"/>
  <c r="B1130" i="43" s="1"/>
  <c r="B1131" i="43" s="1"/>
  <c r="B1132" i="43" s="1"/>
  <c r="B1133" i="43" s="1"/>
  <c r="B1134" i="43" s="1"/>
  <c r="B1135" i="43" s="1"/>
  <c r="B1136" i="43" s="1"/>
  <c r="B1137" i="43" s="1"/>
  <c r="B1138" i="43" s="1"/>
  <c r="B1139" i="43" s="1"/>
  <c r="B1140" i="43" s="1"/>
  <c r="B1141" i="43" s="1"/>
  <c r="B1142" i="43" s="1"/>
  <c r="B1143" i="43" s="1"/>
  <c r="B1144" i="43" s="1"/>
  <c r="B1145" i="43" s="1"/>
  <c r="B1146" i="43" s="1"/>
  <c r="B1147" i="43" s="1"/>
  <c r="B1148" i="43" s="1"/>
  <c r="B1149" i="43" s="1"/>
  <c r="B1150" i="43" s="1"/>
  <c r="B1151" i="43" s="1"/>
  <c r="B1152" i="43" s="1"/>
  <c r="B1153" i="43" s="1"/>
  <c r="B1154" i="43" s="1"/>
  <c r="B1155" i="43" s="1"/>
  <c r="B1156" i="43" s="1"/>
  <c r="B1157" i="43" s="1"/>
  <c r="B1158" i="43" s="1"/>
  <c r="B1159" i="43" s="1"/>
  <c r="B1160" i="43" s="1"/>
  <c r="B1161" i="43" s="1"/>
  <c r="B1162" i="43" s="1"/>
  <c r="B1163" i="43" s="1"/>
  <c r="B1164" i="43" s="1"/>
  <c r="B1165" i="43" s="1"/>
  <c r="B1166" i="43" s="1"/>
  <c r="B1167" i="43" s="1"/>
  <c r="B1168" i="43" s="1"/>
  <c r="B1169" i="43" s="1"/>
  <c r="B1170" i="43" s="1"/>
  <c r="B1171" i="43" s="1"/>
  <c r="B1172" i="43" s="1"/>
  <c r="B1173" i="43" s="1"/>
  <c r="B1174" i="43" s="1"/>
  <c r="B1175" i="43" s="1"/>
  <c r="B1176" i="43" s="1"/>
  <c r="B1177" i="43" s="1"/>
  <c r="B1178" i="43" s="1"/>
  <c r="B1179" i="43" s="1"/>
  <c r="B1180" i="43" s="1"/>
  <c r="B1181" i="43" s="1"/>
  <c r="B1182" i="43" s="1"/>
  <c r="B1183" i="43" s="1"/>
  <c r="B1184" i="43" s="1"/>
  <c r="B1185" i="43" s="1"/>
  <c r="B1186" i="43" s="1"/>
  <c r="B1187" i="43" s="1"/>
  <c r="B1188" i="43" s="1"/>
  <c r="B1189" i="43" s="1"/>
  <c r="B1190" i="43" s="1"/>
  <c r="B1191" i="43" s="1"/>
  <c r="B1192" i="43" s="1"/>
  <c r="B1193" i="43" s="1"/>
  <c r="B1194" i="43" s="1"/>
  <c r="B1195" i="43" s="1"/>
  <c r="B1196" i="43" s="1"/>
  <c r="B1197" i="43" s="1"/>
  <c r="B1198" i="43" s="1"/>
  <c r="B1199" i="43" s="1"/>
  <c r="B1200" i="43" s="1"/>
  <c r="B1201" i="43" s="1"/>
  <c r="B1202" i="43" s="1"/>
  <c r="B1203" i="43" s="1"/>
  <c r="B1204" i="43" s="1"/>
  <c r="B1205" i="43" s="1"/>
  <c r="B1206" i="43" s="1"/>
  <c r="B1207" i="43" s="1"/>
  <c r="B1208" i="43" s="1"/>
  <c r="B1209" i="43" s="1"/>
  <c r="B1210" i="43" s="1"/>
  <c r="B1211" i="43" s="1"/>
  <c r="B1212" i="43" s="1"/>
  <c r="B1213" i="43" s="1"/>
  <c r="B1214" i="43" s="1"/>
  <c r="B1215" i="43" s="1"/>
  <c r="B1216" i="43" s="1"/>
  <c r="B1217" i="43" s="1"/>
  <c r="B1218" i="43" s="1"/>
  <c r="B1219" i="43" s="1"/>
  <c r="B1220" i="43" s="1"/>
  <c r="B1221" i="43" s="1"/>
  <c r="B1222" i="43" s="1"/>
  <c r="B1223" i="43" s="1"/>
  <c r="B1224" i="43" s="1"/>
  <c r="B1225" i="43" s="1"/>
  <c r="B1226" i="43" s="1"/>
  <c r="B1227" i="43" s="1"/>
  <c r="B1228" i="43" s="1"/>
  <c r="B1229" i="43" s="1"/>
  <c r="B1230" i="43" s="1"/>
  <c r="B1231" i="43" s="1"/>
  <c r="B1232" i="43" s="1"/>
  <c r="B1233" i="43" s="1"/>
  <c r="B1234" i="43" s="1"/>
  <c r="B1235" i="43" s="1"/>
  <c r="B1236" i="43" s="1"/>
  <c r="B1237" i="43" s="1"/>
  <c r="B1238" i="43" s="1"/>
  <c r="B1239" i="43" s="1"/>
  <c r="B1240" i="43" s="1"/>
  <c r="B1241" i="43" s="1"/>
  <c r="B1242" i="43" s="1"/>
  <c r="B1243" i="43" s="1"/>
  <c r="B1244" i="43" s="1"/>
  <c r="B1245" i="43" s="1"/>
  <c r="B1246" i="43" s="1"/>
  <c r="B1247" i="43" s="1"/>
  <c r="B1248" i="43" s="1"/>
  <c r="B1249" i="43" s="1"/>
  <c r="B1250" i="43" s="1"/>
  <c r="B1251" i="43" s="1"/>
  <c r="B1252" i="43" s="1"/>
  <c r="B1253" i="43" s="1"/>
  <c r="B1254" i="43" s="1"/>
  <c r="B1255" i="43" s="1"/>
  <c r="B1256" i="43" s="1"/>
  <c r="B1257" i="43" s="1"/>
  <c r="B1258" i="43" s="1"/>
  <c r="B1259" i="43" s="1"/>
  <c r="B1260" i="43" s="1"/>
  <c r="B1261" i="43" s="1"/>
  <c r="B1262" i="43" s="1"/>
  <c r="B1263" i="43" s="1"/>
  <c r="B1264" i="43" s="1"/>
  <c r="B1265" i="43" s="1"/>
  <c r="B1266" i="43" s="1"/>
  <c r="B1267" i="43" s="1"/>
  <c r="B1268" i="43" s="1"/>
  <c r="B1269" i="43" s="1"/>
  <c r="B1270" i="43" s="1"/>
  <c r="B1271" i="43" s="1"/>
  <c r="B1272" i="43" s="1"/>
  <c r="B1273" i="43" s="1"/>
  <c r="B1274" i="43" s="1"/>
  <c r="B1275" i="43" s="1"/>
  <c r="B1276" i="43" s="1"/>
  <c r="B1277" i="43" s="1"/>
  <c r="B1278" i="43" s="1"/>
  <c r="B1279" i="43" s="1"/>
  <c r="B1280" i="43" s="1"/>
  <c r="B1281" i="43" s="1"/>
  <c r="B1282" i="43" s="1"/>
  <c r="B1283" i="43" s="1"/>
  <c r="B1284" i="43" s="1"/>
  <c r="B1285" i="43" s="1"/>
  <c r="B1286" i="43" s="1"/>
  <c r="B1287" i="43" s="1"/>
  <c r="B1288" i="43" s="1"/>
  <c r="B1289" i="43" s="1"/>
  <c r="B1290" i="43" s="1"/>
  <c r="B1291" i="43" s="1"/>
  <c r="B1292" i="43" s="1"/>
  <c r="B1293" i="43" s="1"/>
  <c r="B1294" i="43" s="1"/>
  <c r="B1295" i="43" s="1"/>
  <c r="B1296" i="43" s="1"/>
  <c r="B1297" i="43" s="1"/>
  <c r="B1298" i="43" s="1"/>
  <c r="B1299" i="43" s="1"/>
  <c r="B1300" i="43" s="1"/>
  <c r="B1301" i="43" s="1"/>
  <c r="B1302" i="43" s="1"/>
  <c r="B1303" i="43" s="1"/>
  <c r="B1304" i="43" s="1"/>
  <c r="B1305" i="43" s="1"/>
  <c r="B1306" i="43" s="1"/>
  <c r="B1307" i="43" s="1"/>
  <c r="B1308" i="43" s="1"/>
  <c r="B1309" i="43" s="1"/>
  <c r="B1310" i="43" s="1"/>
  <c r="B1311" i="43" s="1"/>
  <c r="B1312" i="43" s="1"/>
  <c r="B1313" i="43" s="1"/>
  <c r="B1314" i="43" s="1"/>
  <c r="B1315" i="43" s="1"/>
  <c r="B1316" i="43" s="1"/>
  <c r="B1317" i="43" s="1"/>
  <c r="B1318" i="43" s="1"/>
  <c r="B1319" i="43" s="1"/>
  <c r="B1320" i="43" s="1"/>
  <c r="B1321" i="43" s="1"/>
  <c r="B1322" i="43" s="1"/>
  <c r="B1323" i="43" s="1"/>
  <c r="B1324" i="43" s="1"/>
  <c r="B1325" i="43" s="1"/>
  <c r="B1326" i="43" s="1"/>
  <c r="B1327" i="43" s="1"/>
  <c r="B1328" i="43" s="1"/>
  <c r="B1329" i="43" s="1"/>
  <c r="B1330" i="43" s="1"/>
  <c r="B1331" i="43" s="1"/>
  <c r="B1332" i="43" s="1"/>
  <c r="B1333" i="43" s="1"/>
  <c r="B1334" i="43" s="1"/>
  <c r="B1335" i="43" s="1"/>
  <c r="B1336" i="43" s="1"/>
  <c r="B1337" i="43" s="1"/>
  <c r="B1338" i="43" s="1"/>
  <c r="B1339" i="43" s="1"/>
  <c r="B1340" i="43" s="1"/>
  <c r="B1341" i="43" s="1"/>
  <c r="B1342" i="43" s="1"/>
  <c r="B1343" i="43" s="1"/>
  <c r="B1344" i="43" s="1"/>
  <c r="B1345" i="43" s="1"/>
  <c r="B1346" i="43" s="1"/>
  <c r="B1347" i="43" s="1"/>
  <c r="B1348" i="43" s="1"/>
  <c r="B1349" i="43" s="1"/>
  <c r="B1350" i="43" s="1"/>
  <c r="B1351" i="43" s="1"/>
  <c r="B1352" i="43" s="1"/>
  <c r="B1353" i="43" s="1"/>
  <c r="B1354" i="43" s="1"/>
  <c r="R545" i="43"/>
  <c r="Q545" i="43"/>
  <c r="O545" i="43"/>
  <c r="R544" i="43"/>
  <c r="Q544" i="43"/>
  <c r="O544" i="43"/>
  <c r="R543" i="43"/>
  <c r="Q543" i="43"/>
  <c r="O543" i="43"/>
  <c r="R542" i="43"/>
  <c r="M542" i="43"/>
  <c r="R541" i="43"/>
  <c r="M541" i="43"/>
  <c r="R540" i="43"/>
  <c r="M540" i="43"/>
  <c r="R539" i="43"/>
  <c r="Q539" i="43"/>
  <c r="O539" i="43"/>
  <c r="R538" i="43"/>
  <c r="Q538" i="43"/>
  <c r="O538" i="43"/>
  <c r="R537" i="43"/>
  <c r="M537" i="43"/>
  <c r="R536" i="43"/>
  <c r="Q536" i="43"/>
  <c r="O536" i="43"/>
  <c r="R535" i="43"/>
  <c r="M535" i="43"/>
  <c r="R534" i="43"/>
  <c r="Q534" i="43"/>
  <c r="O534" i="43"/>
  <c r="R533" i="43"/>
  <c r="Q533" i="43"/>
  <c r="O533" i="43"/>
  <c r="R532" i="43"/>
  <c r="Q532" i="43"/>
  <c r="O532" i="43"/>
  <c r="R531" i="43"/>
  <c r="M531" i="43"/>
  <c r="R530" i="43"/>
  <c r="Q530" i="43"/>
  <c r="O530" i="43"/>
  <c r="R529" i="43"/>
  <c r="M529" i="43"/>
  <c r="O529" i="43" s="1"/>
  <c r="R528" i="43"/>
  <c r="Q528" i="43"/>
  <c r="O528" i="43"/>
  <c r="R527" i="43"/>
  <c r="M527" i="43"/>
  <c r="O527" i="43" s="1"/>
  <c r="R526" i="43"/>
  <c r="Q526" i="43"/>
  <c r="O526" i="43"/>
  <c r="R525" i="43"/>
  <c r="Q525" i="43"/>
  <c r="O525" i="43"/>
  <c r="R524" i="43"/>
  <c r="Q524" i="43"/>
  <c r="O524" i="43"/>
  <c r="R523" i="43"/>
  <c r="Q523" i="43"/>
  <c r="O523" i="43"/>
  <c r="N522" i="43"/>
  <c r="M522" i="43"/>
  <c r="Q522" i="43" s="1"/>
  <c r="N521" i="43"/>
  <c r="R521" i="43" s="1"/>
  <c r="M521" i="43"/>
  <c r="Q521" i="43" s="1"/>
  <c r="N520" i="43"/>
  <c r="M520" i="43"/>
  <c r="Q520" i="43" s="1"/>
  <c r="R519" i="43"/>
  <c r="Q519" i="43"/>
  <c r="O519" i="43"/>
  <c r="R518" i="43"/>
  <c r="M518" i="43"/>
  <c r="O518" i="43" s="1"/>
  <c r="R517" i="43"/>
  <c r="M517" i="43"/>
  <c r="R516" i="43"/>
  <c r="M516" i="43"/>
  <c r="R515" i="43"/>
  <c r="M515" i="43"/>
  <c r="O515" i="43" s="1"/>
  <c r="R514" i="43"/>
  <c r="M514" i="43"/>
  <c r="O514" i="43" s="1"/>
  <c r="R513" i="43"/>
  <c r="M513" i="43"/>
  <c r="R512" i="43"/>
  <c r="M512" i="43"/>
  <c r="R511" i="43"/>
  <c r="M511" i="43"/>
  <c r="O511" i="43" s="1"/>
  <c r="R510" i="43"/>
  <c r="Q510" i="43"/>
  <c r="O510" i="43"/>
  <c r="R509" i="43"/>
  <c r="Q509" i="43"/>
  <c r="O509" i="43"/>
  <c r="R508" i="43"/>
  <c r="Q508" i="43"/>
  <c r="O508" i="43"/>
  <c r="R507" i="43"/>
  <c r="M507" i="43"/>
  <c r="O507" i="43" s="1"/>
  <c r="R506" i="43"/>
  <c r="M506" i="43"/>
  <c r="Q506" i="43" s="1"/>
  <c r="R505" i="43"/>
  <c r="Q505" i="43"/>
  <c r="O505" i="43"/>
  <c r="N504" i="43"/>
  <c r="M504" i="43"/>
  <c r="Q504" i="43" s="1"/>
  <c r="R503" i="43"/>
  <c r="Q503" i="43"/>
  <c r="O503" i="43"/>
  <c r="R502" i="43"/>
  <c r="Q502" i="43"/>
  <c r="O502" i="43"/>
  <c r="N501" i="43"/>
  <c r="R501" i="43" s="1"/>
  <c r="M501" i="43"/>
  <c r="Q501" i="43" s="1"/>
  <c r="R500" i="43"/>
  <c r="Q500" i="43"/>
  <c r="O500" i="43"/>
  <c r="R499" i="43"/>
  <c r="M499" i="43"/>
  <c r="Q499" i="43" s="1"/>
  <c r="R498" i="43"/>
  <c r="M498" i="43"/>
  <c r="R497" i="43"/>
  <c r="Q497" i="43"/>
  <c r="O497" i="43"/>
  <c r="R496" i="43"/>
  <c r="M496" i="43"/>
  <c r="O496" i="43" s="1"/>
  <c r="R495" i="43"/>
  <c r="Q495" i="43"/>
  <c r="O495" i="43"/>
  <c r="R494" i="43"/>
  <c r="M494" i="43"/>
  <c r="R493" i="43"/>
  <c r="Q493" i="43"/>
  <c r="O493" i="43"/>
  <c r="R492" i="43"/>
  <c r="Q492" i="43"/>
  <c r="O492" i="43"/>
  <c r="R491" i="43"/>
  <c r="Q491" i="43"/>
  <c r="O491" i="43"/>
  <c r="R490" i="43"/>
  <c r="M490" i="43"/>
  <c r="O490" i="43" s="1"/>
  <c r="R489" i="43"/>
  <c r="M489" i="43"/>
  <c r="O489" i="43" s="1"/>
  <c r="R488" i="43"/>
  <c r="M488" i="43"/>
  <c r="O488" i="43" s="1"/>
  <c r="R487" i="43"/>
  <c r="M487" i="43"/>
  <c r="O487" i="43" s="1"/>
  <c r="R486" i="43"/>
  <c r="Q486" i="43"/>
  <c r="O486" i="43"/>
  <c r="R485" i="43"/>
  <c r="Q485" i="43"/>
  <c r="O485" i="43"/>
  <c r="R484" i="43"/>
  <c r="M484" i="43"/>
  <c r="O484" i="43" s="1"/>
  <c r="R483" i="43"/>
  <c r="M483" i="43"/>
  <c r="O483" i="43" s="1"/>
  <c r="R482" i="43"/>
  <c r="Q482" i="43"/>
  <c r="O482" i="43"/>
  <c r="N481" i="43"/>
  <c r="M481" i="43"/>
  <c r="R479" i="43"/>
  <c r="Q479" i="43"/>
  <c r="O479" i="43"/>
  <c r="R478" i="43"/>
  <c r="M478" i="43"/>
  <c r="O478" i="43" s="1"/>
  <c r="R477" i="43"/>
  <c r="Q477" i="43"/>
  <c r="O477" i="43"/>
  <c r="R476" i="43"/>
  <c r="Q476" i="43"/>
  <c r="O476" i="43"/>
  <c r="R475" i="43"/>
  <c r="Q475" i="43"/>
  <c r="O475" i="43"/>
  <c r="R474" i="43"/>
  <c r="Q474" i="43"/>
  <c r="O474" i="43"/>
  <c r="R473" i="43"/>
  <c r="M473" i="43"/>
  <c r="O473" i="43" s="1"/>
  <c r="R472" i="43"/>
  <c r="M472" i="43"/>
  <c r="O472" i="43" s="1"/>
  <c r="R471" i="43"/>
  <c r="M471" i="43"/>
  <c r="O471" i="43" s="1"/>
  <c r="R470" i="43"/>
  <c r="M470" i="43"/>
  <c r="O470" i="43" s="1"/>
  <c r="R469" i="43"/>
  <c r="Q469" i="43"/>
  <c r="O469" i="43"/>
  <c r="R468" i="43"/>
  <c r="Q468" i="43"/>
  <c r="O468" i="43"/>
  <c r="R467" i="43"/>
  <c r="M467" i="43"/>
  <c r="O467" i="43" s="1"/>
  <c r="R466" i="43"/>
  <c r="M466" i="43"/>
  <c r="R465" i="43"/>
  <c r="Q465" i="43"/>
  <c r="O465" i="43"/>
  <c r="R464" i="43"/>
  <c r="Q464" i="43"/>
  <c r="O464" i="43"/>
  <c r="R463" i="43"/>
  <c r="Q463" i="43"/>
  <c r="O463" i="43"/>
  <c r="R462" i="43"/>
  <c r="Q462" i="43"/>
  <c r="O462" i="43"/>
  <c r="N461" i="43"/>
  <c r="R460" i="43"/>
  <c r="R459" i="43" s="1"/>
  <c r="Q460" i="43"/>
  <c r="Q459" i="43" s="1"/>
  <c r="O460" i="43"/>
  <c r="N459" i="43"/>
  <c r="M459" i="43"/>
  <c r="R456" i="43"/>
  <c r="Q456" i="43"/>
  <c r="O456" i="43"/>
  <c r="N455" i="43"/>
  <c r="R455" i="43" s="1"/>
  <c r="M455" i="43"/>
  <c r="R453" i="43"/>
  <c r="I453" i="43"/>
  <c r="K453" i="43" s="1"/>
  <c r="R452" i="43"/>
  <c r="I452" i="43"/>
  <c r="Q452" i="43" s="1"/>
  <c r="R451" i="43"/>
  <c r="I451" i="43"/>
  <c r="R450" i="43"/>
  <c r="I450" i="43"/>
  <c r="Q450" i="43" s="1"/>
  <c r="R449" i="43"/>
  <c r="I449" i="43"/>
  <c r="K449" i="43" s="1"/>
  <c r="J448" i="43"/>
  <c r="R448" i="43" s="1"/>
  <c r="R446" i="43"/>
  <c r="Q446" i="43"/>
  <c r="K446" i="43"/>
  <c r="R445" i="43"/>
  <c r="I445" i="43"/>
  <c r="R444" i="43"/>
  <c r="Q444" i="43"/>
  <c r="K444" i="43"/>
  <c r="J443" i="43"/>
  <c r="J439" i="43" s="1"/>
  <c r="R439" i="43" s="1"/>
  <c r="I443" i="43"/>
  <c r="R442" i="43"/>
  <c r="Q442" i="43"/>
  <c r="K442" i="43"/>
  <c r="R441" i="43"/>
  <c r="Q441" i="43"/>
  <c r="K441" i="43"/>
  <c r="R440" i="43"/>
  <c r="Q440" i="43"/>
  <c r="K440" i="43"/>
  <c r="R438" i="43"/>
  <c r="Q438" i="43"/>
  <c r="K438" i="43"/>
  <c r="R437" i="43"/>
  <c r="Q437" i="43"/>
  <c r="K437" i="43"/>
  <c r="R435" i="43"/>
  <c r="Q435" i="43"/>
  <c r="K435" i="43"/>
  <c r="R434" i="43"/>
  <c r="Q434" i="43"/>
  <c r="K434" i="43"/>
  <c r="R433" i="43"/>
  <c r="Q433" i="43"/>
  <c r="K433" i="43"/>
  <c r="R432" i="43"/>
  <c r="I432" i="43"/>
  <c r="K432" i="43" s="1"/>
  <c r="R431" i="43"/>
  <c r="Q431" i="43"/>
  <c r="K431" i="43"/>
  <c r="J430" i="43"/>
  <c r="R430" i="43" s="1"/>
  <c r="I430" i="43"/>
  <c r="Q430" i="43" s="1"/>
  <c r="R426" i="43"/>
  <c r="Q426" i="43"/>
  <c r="K426" i="43"/>
  <c r="R425" i="43"/>
  <c r="Q425" i="43"/>
  <c r="K425" i="43"/>
  <c r="J424" i="43"/>
  <c r="I424" i="43"/>
  <c r="B423" i="43"/>
  <c r="B424" i="43" s="1"/>
  <c r="B425" i="43" s="1"/>
  <c r="B426" i="43" s="1"/>
  <c r="B427" i="43" s="1"/>
  <c r="B428" i="43" s="1"/>
  <c r="B429" i="43" s="1"/>
  <c r="B430" i="43" s="1"/>
  <c r="B431" i="43" s="1"/>
  <c r="B432" i="43" s="1"/>
  <c r="B433" i="43" s="1"/>
  <c r="B434" i="43" s="1"/>
  <c r="B435" i="43" s="1"/>
  <c r="B436" i="43" s="1"/>
  <c r="B437" i="43" s="1"/>
  <c r="B438" i="43" s="1"/>
  <c r="B439" i="43" s="1"/>
  <c r="B440" i="43" s="1"/>
  <c r="B441" i="43" s="1"/>
  <c r="B442" i="43" s="1"/>
  <c r="B443" i="43" s="1"/>
  <c r="B444" i="43" s="1"/>
  <c r="B445" i="43" s="1"/>
  <c r="B446" i="43" s="1"/>
  <c r="B447" i="43" s="1"/>
  <c r="B448" i="43" s="1"/>
  <c r="B449" i="43" s="1"/>
  <c r="B450" i="43" s="1"/>
  <c r="B451" i="43" s="1"/>
  <c r="B452" i="43" s="1"/>
  <c r="B453" i="43" s="1"/>
  <c r="B454" i="43" s="1"/>
  <c r="B455" i="43" s="1"/>
  <c r="B456" i="43" s="1"/>
  <c r="B457" i="43" s="1"/>
  <c r="B458" i="43" s="1"/>
  <c r="B459" i="43" s="1"/>
  <c r="B460" i="43" s="1"/>
  <c r="B461" i="43" s="1"/>
  <c r="B462" i="43" s="1"/>
  <c r="B463" i="43" s="1"/>
  <c r="B464" i="43" s="1"/>
  <c r="B465" i="43" s="1"/>
  <c r="B466" i="43" s="1"/>
  <c r="B467" i="43" s="1"/>
  <c r="B468" i="43" s="1"/>
  <c r="B469" i="43" s="1"/>
  <c r="B470" i="43" s="1"/>
  <c r="B471" i="43" s="1"/>
  <c r="B472" i="43" s="1"/>
  <c r="B473" i="43" s="1"/>
  <c r="B474" i="43" s="1"/>
  <c r="B475" i="43" s="1"/>
  <c r="B476" i="43" s="1"/>
  <c r="B477" i="43" s="1"/>
  <c r="B478" i="43" s="1"/>
  <c r="B479" i="43" s="1"/>
  <c r="B480" i="43" s="1"/>
  <c r="B481" i="43" s="1"/>
  <c r="B482" i="43" s="1"/>
  <c r="B483" i="43" s="1"/>
  <c r="B484" i="43" s="1"/>
  <c r="B485" i="43" s="1"/>
  <c r="B486" i="43" s="1"/>
  <c r="B487" i="43" s="1"/>
  <c r="B488" i="43" s="1"/>
  <c r="B489" i="43" s="1"/>
  <c r="B490" i="43" s="1"/>
  <c r="B491" i="43" s="1"/>
  <c r="B492" i="43" s="1"/>
  <c r="B493" i="43" s="1"/>
  <c r="B494" i="43" s="1"/>
  <c r="B495" i="43" s="1"/>
  <c r="B496" i="43" s="1"/>
  <c r="B497" i="43" s="1"/>
  <c r="B498" i="43" s="1"/>
  <c r="B499" i="43" s="1"/>
  <c r="B500" i="43" s="1"/>
  <c r="B501" i="43" s="1"/>
  <c r="B502" i="43" s="1"/>
  <c r="B503" i="43" s="1"/>
  <c r="B504" i="43" s="1"/>
  <c r="B505" i="43" s="1"/>
  <c r="B506" i="43" s="1"/>
  <c r="B507" i="43" s="1"/>
  <c r="B508" i="43" s="1"/>
  <c r="B509" i="43" s="1"/>
  <c r="B510" i="43" s="1"/>
  <c r="B511" i="43" s="1"/>
  <c r="B512" i="43" s="1"/>
  <c r="B513" i="43" s="1"/>
  <c r="B514" i="43" s="1"/>
  <c r="B515" i="43" s="1"/>
  <c r="B516" i="43" s="1"/>
  <c r="B517" i="43" s="1"/>
  <c r="B518" i="43" s="1"/>
  <c r="B519" i="43" s="1"/>
  <c r="B520" i="43" s="1"/>
  <c r="B521" i="43" s="1"/>
  <c r="B522" i="43" s="1"/>
  <c r="B523" i="43" s="1"/>
  <c r="B524" i="43" s="1"/>
  <c r="B525" i="43" s="1"/>
  <c r="B526" i="43" s="1"/>
  <c r="B527" i="43" s="1"/>
  <c r="B528" i="43" s="1"/>
  <c r="B529" i="43" s="1"/>
  <c r="B530" i="43" s="1"/>
  <c r="B531" i="43" s="1"/>
  <c r="B532" i="43" s="1"/>
  <c r="B533" i="43" s="1"/>
  <c r="B534" i="43" s="1"/>
  <c r="B535" i="43" s="1"/>
  <c r="B536" i="43" s="1"/>
  <c r="B537" i="43" s="1"/>
  <c r="B538" i="43" s="1"/>
  <c r="B539" i="43" s="1"/>
  <c r="B540" i="43" s="1"/>
  <c r="B541" i="43" s="1"/>
  <c r="B542" i="43" s="1"/>
  <c r="B543" i="43" s="1"/>
  <c r="B544" i="43" s="1"/>
  <c r="B545" i="43" s="1"/>
  <c r="R381" i="43"/>
  <c r="Q381" i="43"/>
  <c r="K381" i="43"/>
  <c r="R380" i="43"/>
  <c r="Q380" i="43"/>
  <c r="K380" i="43"/>
  <c r="R379" i="43"/>
  <c r="Q379" i="43"/>
  <c r="K379" i="43"/>
  <c r="J378" i="43"/>
  <c r="I378" i="43"/>
  <c r="R376" i="43"/>
  <c r="Q376" i="43"/>
  <c r="K376" i="43"/>
  <c r="R375" i="43"/>
  <c r="Q375" i="43"/>
  <c r="K375" i="43"/>
  <c r="R374" i="43"/>
  <c r="Q374" i="43"/>
  <c r="K374" i="43"/>
  <c r="R373" i="43"/>
  <c r="Q373" i="43"/>
  <c r="K373" i="43"/>
  <c r="J372" i="43"/>
  <c r="R372" i="43" s="1"/>
  <c r="I372" i="43"/>
  <c r="R370" i="43"/>
  <c r="Q370" i="43"/>
  <c r="K370" i="43"/>
  <c r="J369" i="43"/>
  <c r="I369" i="43"/>
  <c r="Q369" i="43" s="1"/>
  <c r="R367" i="43"/>
  <c r="Q367" i="43"/>
  <c r="O367" i="43"/>
  <c r="N366" i="43"/>
  <c r="M366" i="43"/>
  <c r="Q366" i="43" s="1"/>
  <c r="R364" i="43"/>
  <c r="Q364" i="43"/>
  <c r="K364" i="43"/>
  <c r="J363" i="43"/>
  <c r="J362" i="43" s="1"/>
  <c r="I363" i="43"/>
  <c r="R361" i="43"/>
  <c r="Q361" i="43"/>
  <c r="O361" i="43"/>
  <c r="N360" i="43"/>
  <c r="M360" i="43"/>
  <c r="Q360" i="43" s="1"/>
  <c r="R358" i="43"/>
  <c r="Q358" i="43"/>
  <c r="K358" i="43"/>
  <c r="R357" i="43"/>
  <c r="Q357" i="43"/>
  <c r="K357" i="43"/>
  <c r="Q356" i="43"/>
  <c r="J356" i="43"/>
  <c r="R356" i="43" s="1"/>
  <c r="R355" i="43"/>
  <c r="Q355" i="43"/>
  <c r="K355" i="43"/>
  <c r="R354" i="43"/>
  <c r="Q354" i="43"/>
  <c r="K354" i="43"/>
  <c r="R353" i="43"/>
  <c r="Q353" i="43"/>
  <c r="K353" i="43"/>
  <c r="R352" i="43"/>
  <c r="Q352" i="43"/>
  <c r="K352" i="43"/>
  <c r="I351" i="43"/>
  <c r="R350" i="43"/>
  <c r="Q350" i="43"/>
  <c r="K350" i="43"/>
  <c r="R349" i="43"/>
  <c r="Q349" i="43"/>
  <c r="K349" i="43"/>
  <c r="R347" i="43"/>
  <c r="Q347" i="43"/>
  <c r="O347" i="43"/>
  <c r="N346" i="43"/>
  <c r="M346" i="43"/>
  <c r="R345" i="43"/>
  <c r="Q345" i="43"/>
  <c r="O345" i="43"/>
  <c r="R344" i="43"/>
  <c r="Q344" i="43"/>
  <c r="O344" i="43"/>
  <c r="N343" i="43"/>
  <c r="M343" i="43"/>
  <c r="Q343" i="43" s="1"/>
  <c r="R342" i="43"/>
  <c r="Q342" i="43"/>
  <c r="O342" i="43"/>
  <c r="R340" i="43"/>
  <c r="Q340" i="43"/>
  <c r="K340" i="43"/>
  <c r="J339" i="43"/>
  <c r="I339" i="43"/>
  <c r="Q339" i="43" s="1"/>
  <c r="R337" i="43"/>
  <c r="Q337" i="43"/>
  <c r="O337" i="43"/>
  <c r="N336" i="43"/>
  <c r="R336" i="43" s="1"/>
  <c r="M336" i="43"/>
  <c r="R335" i="43"/>
  <c r="M335" i="43"/>
  <c r="O335" i="43" s="1"/>
  <c r="N334" i="43"/>
  <c r="R333" i="43"/>
  <c r="M333" i="43"/>
  <c r="Q333" i="43" s="1"/>
  <c r="N332" i="43"/>
  <c r="R330" i="43"/>
  <c r="I330" i="43"/>
  <c r="R329" i="43"/>
  <c r="Q329" i="43"/>
  <c r="K329" i="43"/>
  <c r="J328" i="43"/>
  <c r="I328" i="43"/>
  <c r="Q328" i="43" s="1"/>
  <c r="R327" i="43"/>
  <c r="Q327" i="43"/>
  <c r="K327" i="43"/>
  <c r="R326" i="43"/>
  <c r="I326" i="43"/>
  <c r="Q326" i="43" s="1"/>
  <c r="R325" i="43"/>
  <c r="I325" i="43"/>
  <c r="R324" i="43"/>
  <c r="Q324" i="43"/>
  <c r="K324" i="43"/>
  <c r="R323" i="43"/>
  <c r="I323" i="43"/>
  <c r="Q323" i="43" s="1"/>
  <c r="R322" i="43"/>
  <c r="Q322" i="43"/>
  <c r="K322" i="43"/>
  <c r="R321" i="43"/>
  <c r="I321" i="43"/>
  <c r="Q321" i="43" s="1"/>
  <c r="J320" i="43"/>
  <c r="R320" i="43" s="1"/>
  <c r="R319" i="43"/>
  <c r="I319" i="43"/>
  <c r="K319" i="43" s="1"/>
  <c r="R318" i="43"/>
  <c r="I318" i="43"/>
  <c r="B317" i="43"/>
  <c r="B318" i="43" s="1"/>
  <c r="B319" i="43" s="1"/>
  <c r="B320" i="43" s="1"/>
  <c r="B321" i="43" s="1"/>
  <c r="B322" i="43" s="1"/>
  <c r="B323" i="43" s="1"/>
  <c r="B324" i="43" s="1"/>
  <c r="B325" i="43" s="1"/>
  <c r="B326" i="43" s="1"/>
  <c r="B327" i="43" s="1"/>
  <c r="B328" i="43" s="1"/>
  <c r="B329" i="43" s="1"/>
  <c r="B330" i="43" s="1"/>
  <c r="B331" i="43" s="1"/>
  <c r="B332" i="43" s="1"/>
  <c r="B333" i="43" s="1"/>
  <c r="B334" i="43" s="1"/>
  <c r="B335" i="43" s="1"/>
  <c r="B336" i="43" s="1"/>
  <c r="B337" i="43" s="1"/>
  <c r="B338" i="43" s="1"/>
  <c r="B339" i="43" s="1"/>
  <c r="B340" i="43" s="1"/>
  <c r="B341" i="43" s="1"/>
  <c r="B342" i="43" s="1"/>
  <c r="B343" i="43" s="1"/>
  <c r="B344" i="43" s="1"/>
  <c r="B345" i="43" s="1"/>
  <c r="B346" i="43" s="1"/>
  <c r="B347" i="43" s="1"/>
  <c r="B348" i="43" s="1"/>
  <c r="B349" i="43" s="1"/>
  <c r="B350" i="43" s="1"/>
  <c r="B351" i="43" s="1"/>
  <c r="B352" i="43" s="1"/>
  <c r="B353" i="43" s="1"/>
  <c r="B354" i="43" s="1"/>
  <c r="B355" i="43" s="1"/>
  <c r="B356" i="43" s="1"/>
  <c r="B357" i="43" s="1"/>
  <c r="B358" i="43" s="1"/>
  <c r="B359" i="43" s="1"/>
  <c r="B360" i="43" s="1"/>
  <c r="B361" i="43" s="1"/>
  <c r="B362" i="43" s="1"/>
  <c r="B363" i="43" s="1"/>
  <c r="B364" i="43" s="1"/>
  <c r="B365" i="43" s="1"/>
  <c r="B366" i="43" s="1"/>
  <c r="B367" i="43" s="1"/>
  <c r="B368" i="43" s="1"/>
  <c r="B369" i="43" s="1"/>
  <c r="B370" i="43" s="1"/>
  <c r="B371" i="43" s="1"/>
  <c r="B372" i="43" s="1"/>
  <c r="B373" i="43" s="1"/>
  <c r="B374" i="43" s="1"/>
  <c r="B375" i="43" s="1"/>
  <c r="B376" i="43" s="1"/>
  <c r="B377" i="43" s="1"/>
  <c r="B378" i="43" s="1"/>
  <c r="B379" i="43" s="1"/>
  <c r="B380" i="43" s="1"/>
  <c r="B381" i="43" s="1"/>
  <c r="R281" i="43"/>
  <c r="Q281" i="43"/>
  <c r="K281" i="43"/>
  <c r="R280" i="43"/>
  <c r="Q280" i="43"/>
  <c r="K280" i="43"/>
  <c r="R279" i="43"/>
  <c r="Q279" i="43"/>
  <c r="K279" i="43"/>
  <c r="R278" i="43"/>
  <c r="Q278" i="43"/>
  <c r="K278" i="43"/>
  <c r="J277" i="43"/>
  <c r="R277" i="43" s="1"/>
  <c r="I277" i="43"/>
  <c r="R274" i="43"/>
  <c r="M274" i="43"/>
  <c r="O274" i="43" s="1"/>
  <c r="R273" i="43"/>
  <c r="Q273" i="43"/>
  <c r="O273" i="43"/>
  <c r="N272" i="43"/>
  <c r="R271" i="43"/>
  <c r="Q271" i="43"/>
  <c r="O271" i="43"/>
  <c r="R270" i="43"/>
  <c r="Q270" i="43"/>
  <c r="O270" i="43"/>
  <c r="N269" i="43"/>
  <c r="R269" i="43" s="1"/>
  <c r="M269" i="43"/>
  <c r="R267" i="43"/>
  <c r="Q267" i="43"/>
  <c r="K267" i="43"/>
  <c r="J266" i="43"/>
  <c r="R266" i="43" s="1"/>
  <c r="I266" i="43"/>
  <c r="Q266" i="43" s="1"/>
  <c r="R265" i="43"/>
  <c r="I265" i="43"/>
  <c r="R264" i="43"/>
  <c r="I264" i="43"/>
  <c r="R263" i="43"/>
  <c r="Q263" i="43"/>
  <c r="K263" i="43"/>
  <c r="R262" i="43"/>
  <c r="Q262" i="43"/>
  <c r="K262" i="43"/>
  <c r="J261" i="43"/>
  <c r="J260" i="43" s="1"/>
  <c r="R259" i="43"/>
  <c r="Q259" i="43"/>
  <c r="K259" i="43"/>
  <c r="R258" i="43"/>
  <c r="I258" i="43"/>
  <c r="R257" i="43"/>
  <c r="I257" i="43"/>
  <c r="K257" i="43" s="1"/>
  <c r="R256" i="43"/>
  <c r="Q256" i="43"/>
  <c r="K256" i="43"/>
  <c r="R255" i="43"/>
  <c r="Q255" i="43"/>
  <c r="K255" i="43"/>
  <c r="R254" i="43"/>
  <c r="Q254" i="43"/>
  <c r="K254" i="43"/>
  <c r="J253" i="43"/>
  <c r="R253" i="43" s="1"/>
  <c r="R252" i="43"/>
  <c r="Q252" i="43"/>
  <c r="K252" i="43"/>
  <c r="R251" i="43"/>
  <c r="Q251" i="43"/>
  <c r="K251" i="43"/>
  <c r="N249" i="43"/>
  <c r="M249" i="43"/>
  <c r="R248" i="43"/>
  <c r="Q248" i="43"/>
  <c r="K248" i="43"/>
  <c r="R247" i="43"/>
  <c r="Q247" i="43"/>
  <c r="K247" i="43"/>
  <c r="R246" i="43"/>
  <c r="Q246" i="43"/>
  <c r="K246" i="43"/>
  <c r="R245" i="43"/>
  <c r="Q245" i="43"/>
  <c r="K245" i="43"/>
  <c r="R244" i="43"/>
  <c r="Q244" i="43"/>
  <c r="K244" i="43"/>
  <c r="J243" i="43"/>
  <c r="R243" i="43" s="1"/>
  <c r="I243" i="43"/>
  <c r="Q243" i="43" s="1"/>
  <c r="R242" i="43"/>
  <c r="Q242" i="43"/>
  <c r="K242" i="43"/>
  <c r="R241" i="43"/>
  <c r="Q241" i="43"/>
  <c r="K241" i="43"/>
  <c r="R238" i="43"/>
  <c r="Q238" i="43"/>
  <c r="K238" i="43"/>
  <c r="R237" i="43"/>
  <c r="Q237" i="43"/>
  <c r="K237" i="43"/>
  <c r="R236" i="43"/>
  <c r="Q236" i="43"/>
  <c r="K236" i="43"/>
  <c r="R235" i="43"/>
  <c r="Q235" i="43"/>
  <c r="K235" i="43"/>
  <c r="R234" i="43"/>
  <c r="Q234" i="43"/>
  <c r="K234" i="43"/>
  <c r="J233" i="43"/>
  <c r="R233" i="43" s="1"/>
  <c r="I233" i="43"/>
  <c r="Q233" i="43" s="1"/>
  <c r="R232" i="43"/>
  <c r="Q232" i="43"/>
  <c r="K232" i="43"/>
  <c r="R231" i="43"/>
  <c r="Q231" i="43"/>
  <c r="K231" i="43"/>
  <c r="R229" i="43"/>
  <c r="Q229" i="43"/>
  <c r="K229" i="43"/>
  <c r="R228" i="43"/>
  <c r="I228" i="43"/>
  <c r="K228" i="43" s="1"/>
  <c r="J227" i="43"/>
  <c r="I227" i="43"/>
  <c r="Q227" i="43" s="1"/>
  <c r="R226" i="43"/>
  <c r="I226" i="43"/>
  <c r="Q226" i="43" s="1"/>
  <c r="R225" i="43"/>
  <c r="K225" i="43"/>
  <c r="I225" i="43"/>
  <c r="Q225" i="43" s="1"/>
  <c r="R224" i="43"/>
  <c r="I224" i="43"/>
  <c r="Q224" i="43" s="1"/>
  <c r="R223" i="43"/>
  <c r="I223" i="43"/>
  <c r="Q223" i="43" s="1"/>
  <c r="R221" i="43"/>
  <c r="I221" i="43"/>
  <c r="K221" i="43" s="1"/>
  <c r="R220" i="43"/>
  <c r="I220" i="43"/>
  <c r="R218" i="43"/>
  <c r="Q218" i="43"/>
  <c r="K218" i="43"/>
  <c r="R217" i="43"/>
  <c r="Q217" i="43"/>
  <c r="K217" i="43"/>
  <c r="J216" i="43"/>
  <c r="R216" i="43" s="1"/>
  <c r="I216" i="43"/>
  <c r="Q216" i="43" s="1"/>
  <c r="R215" i="43"/>
  <c r="Q215" i="43"/>
  <c r="K215" i="43"/>
  <c r="I214" i="43"/>
  <c r="Q214" i="43" s="1"/>
  <c r="B214" i="43"/>
  <c r="B215" i="43" s="1"/>
  <c r="B216" i="43" s="1"/>
  <c r="B217" i="43" s="1"/>
  <c r="B218" i="43" s="1"/>
  <c r="B219" i="43" s="1"/>
  <c r="B220" i="43" s="1"/>
  <c r="B221" i="43" s="1"/>
  <c r="B222" i="43" s="1"/>
  <c r="B223" i="43" s="1"/>
  <c r="B224" i="43" s="1"/>
  <c r="B225" i="43" s="1"/>
  <c r="B226" i="43" s="1"/>
  <c r="B227" i="43" s="1"/>
  <c r="B228" i="43" s="1"/>
  <c r="B229" i="43" s="1"/>
  <c r="B230" i="43" s="1"/>
  <c r="B231" i="43" s="1"/>
  <c r="B232" i="43" s="1"/>
  <c r="B233" i="43" s="1"/>
  <c r="B234" i="43" s="1"/>
  <c r="B235" i="43" s="1"/>
  <c r="B236" i="43" s="1"/>
  <c r="B237" i="43" s="1"/>
  <c r="B238" i="43" s="1"/>
  <c r="B239" i="43" s="1"/>
  <c r="R201" i="43"/>
  <c r="Q201" i="43"/>
  <c r="O201" i="43"/>
  <c r="N200" i="43"/>
  <c r="R200" i="43" s="1"/>
  <c r="M200" i="43"/>
  <c r="M199" i="43" s="1"/>
  <c r="R198" i="43"/>
  <c r="Q198" i="43"/>
  <c r="K198" i="43"/>
  <c r="R197" i="43"/>
  <c r="Q197" i="43"/>
  <c r="I197" i="43"/>
  <c r="K197" i="43" s="1"/>
  <c r="J196" i="43"/>
  <c r="R196" i="43" s="1"/>
  <c r="I196" i="43"/>
  <c r="R194" i="43"/>
  <c r="M194" i="43"/>
  <c r="N193" i="43"/>
  <c r="R192" i="43"/>
  <c r="Q192" i="43"/>
  <c r="O192" i="43"/>
  <c r="R191" i="43"/>
  <c r="M191" i="43"/>
  <c r="N190" i="43"/>
  <c r="R190" i="43" s="1"/>
  <c r="R188" i="43"/>
  <c r="I188" i="43"/>
  <c r="R187" i="43"/>
  <c r="Q187" i="43"/>
  <c r="K187" i="43"/>
  <c r="R186" i="43"/>
  <c r="I186" i="43"/>
  <c r="K186" i="43" s="1"/>
  <c r="R185" i="43"/>
  <c r="Q185" i="43"/>
  <c r="K185" i="43"/>
  <c r="R184" i="43"/>
  <c r="Q184" i="43"/>
  <c r="K184" i="43"/>
  <c r="J183" i="43"/>
  <c r="R183" i="43" s="1"/>
  <c r="R181" i="43"/>
  <c r="I181" i="43"/>
  <c r="J180" i="43"/>
  <c r="R180" i="43" s="1"/>
  <c r="R179" i="43"/>
  <c r="I179" i="43"/>
  <c r="J178" i="43"/>
  <c r="R178" i="43" s="1"/>
  <c r="R176" i="43"/>
  <c r="M176" i="43"/>
  <c r="N175" i="43"/>
  <c r="R175" i="43" s="1"/>
  <c r="R174" i="43"/>
  <c r="Q174" i="43"/>
  <c r="O174" i="43"/>
  <c r="R173" i="43"/>
  <c r="Q173" i="43"/>
  <c r="O173" i="43"/>
  <c r="N172" i="43"/>
  <c r="M172" i="43"/>
  <c r="R170" i="43"/>
  <c r="I170" i="43"/>
  <c r="Q170" i="43" s="1"/>
  <c r="J169" i="43"/>
  <c r="R169" i="43" s="1"/>
  <c r="R168" i="43"/>
  <c r="Q168" i="43"/>
  <c r="I168" i="43"/>
  <c r="K168" i="43" s="1"/>
  <c r="R167" i="43"/>
  <c r="Q167" i="43"/>
  <c r="K167" i="43"/>
  <c r="J166" i="43"/>
  <c r="R166" i="43" s="1"/>
  <c r="I166" i="43"/>
  <c r="Q166" i="43" s="1"/>
  <c r="R165" i="43"/>
  <c r="I165" i="43"/>
  <c r="R164" i="43"/>
  <c r="I164" i="43"/>
  <c r="R163" i="43"/>
  <c r="I163" i="43"/>
  <c r="R162" i="43"/>
  <c r="I162" i="43"/>
  <c r="Q162" i="43" s="1"/>
  <c r="J161" i="43"/>
  <c r="R160" i="43"/>
  <c r="I160" i="43"/>
  <c r="K160" i="43" s="1"/>
  <c r="R159" i="43"/>
  <c r="I159" i="43"/>
  <c r="R157" i="43"/>
  <c r="Q157" i="43"/>
  <c r="K157" i="43"/>
  <c r="R156" i="43"/>
  <c r="I156" i="43"/>
  <c r="Q156" i="43" s="1"/>
  <c r="J155" i="43"/>
  <c r="R155" i="43" s="1"/>
  <c r="R153" i="43"/>
  <c r="Q153" i="43"/>
  <c r="O153" i="43"/>
  <c r="R152" i="43"/>
  <c r="Q152" i="43"/>
  <c r="O152" i="43"/>
  <c r="R151" i="43"/>
  <c r="M151" i="43"/>
  <c r="R150" i="43"/>
  <c r="M150" i="43"/>
  <c r="Q150" i="43" s="1"/>
  <c r="R149" i="43"/>
  <c r="Q149" i="43"/>
  <c r="O149" i="43"/>
  <c r="N148" i="43"/>
  <c r="R147" i="43"/>
  <c r="Q147" i="43"/>
  <c r="O147" i="43"/>
  <c r="R146" i="43"/>
  <c r="Q146" i="43"/>
  <c r="O146" i="43"/>
  <c r="R145" i="43"/>
  <c r="Q145" i="43"/>
  <c r="O145" i="43"/>
  <c r="N144" i="43"/>
  <c r="R144" i="43" s="1"/>
  <c r="M144" i="43"/>
  <c r="Q144" i="43" s="1"/>
  <c r="R142" i="43"/>
  <c r="I142" i="43"/>
  <c r="Q141" i="43"/>
  <c r="J141" i="43"/>
  <c r="R141" i="43" s="1"/>
  <c r="R140" i="43"/>
  <c r="Q140" i="43"/>
  <c r="K140" i="43"/>
  <c r="R139" i="43"/>
  <c r="I139" i="43"/>
  <c r="K139" i="43" s="1"/>
  <c r="R138" i="43"/>
  <c r="I138" i="43"/>
  <c r="R137" i="43"/>
  <c r="I137" i="43"/>
  <c r="Q137" i="43" s="1"/>
  <c r="R136" i="43"/>
  <c r="I136" i="43"/>
  <c r="R133" i="43"/>
  <c r="I133" i="43"/>
  <c r="K133" i="43" s="1"/>
  <c r="R132" i="43"/>
  <c r="I132" i="43"/>
  <c r="J131" i="43"/>
  <c r="J130" i="43" s="1"/>
  <c r="R130" i="43" s="1"/>
  <c r="R129" i="43"/>
  <c r="M129" i="43"/>
  <c r="Q129" i="43" s="1"/>
  <c r="N128" i="43"/>
  <c r="R128" i="43" s="1"/>
  <c r="R127" i="43"/>
  <c r="I127" i="43"/>
  <c r="I125" i="43" s="1"/>
  <c r="Q125" i="43" s="1"/>
  <c r="R126" i="43"/>
  <c r="Q126" i="43"/>
  <c r="K126" i="43"/>
  <c r="J125" i="43"/>
  <c r="N124" i="43"/>
  <c r="R123" i="43"/>
  <c r="M123" i="43"/>
  <c r="N122" i="43"/>
  <c r="R121" i="43"/>
  <c r="I121" i="43"/>
  <c r="Q121" i="43" s="1"/>
  <c r="R120" i="43"/>
  <c r="Q120" i="43"/>
  <c r="K120" i="43"/>
  <c r="J119" i="43"/>
  <c r="R119" i="43" s="1"/>
  <c r="R117" i="43"/>
  <c r="Q117" i="43"/>
  <c r="K117" i="43"/>
  <c r="J116" i="43"/>
  <c r="I116" i="43"/>
  <c r="Q116" i="43" s="1"/>
  <c r="R113" i="43"/>
  <c r="I113" i="43"/>
  <c r="J112" i="43"/>
  <c r="R112" i="43" s="1"/>
  <c r="N111" i="43"/>
  <c r="M111" i="43"/>
  <c r="B111" i="43"/>
  <c r="B112" i="43" s="1"/>
  <c r="B113" i="43" s="1"/>
  <c r="B114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B139" i="43" s="1"/>
  <c r="B140" i="43" s="1"/>
  <c r="B141" i="43" s="1"/>
  <c r="B142" i="43" s="1"/>
  <c r="B143" i="43" s="1"/>
  <c r="B144" i="43" s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1" i="43" s="1"/>
  <c r="B172" i="43" s="1"/>
  <c r="B173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198" i="43" s="1"/>
  <c r="B199" i="43" s="1"/>
  <c r="B200" i="43" s="1"/>
  <c r="B201" i="43" s="1"/>
  <c r="R91" i="43"/>
  <c r="Q91" i="43"/>
  <c r="K91" i="43"/>
  <c r="J90" i="43"/>
  <c r="I90" i="43"/>
  <c r="I89" i="43" s="1"/>
  <c r="Q89" i="43" s="1"/>
  <c r="R88" i="43"/>
  <c r="Q88" i="43"/>
  <c r="K88" i="43"/>
  <c r="J87" i="43"/>
  <c r="R87" i="43" s="1"/>
  <c r="I87" i="43"/>
  <c r="Q85" i="43"/>
  <c r="J85" i="43"/>
  <c r="K85" i="43" s="1"/>
  <c r="R84" i="43"/>
  <c r="I84" i="43"/>
  <c r="Q84" i="43" s="1"/>
  <c r="J83" i="43"/>
  <c r="R82" i="43"/>
  <c r="I82" i="43"/>
  <c r="K82" i="43" s="1"/>
  <c r="J81" i="43"/>
  <c r="R81" i="43" s="1"/>
  <c r="R80" i="43"/>
  <c r="I80" i="43"/>
  <c r="Q80" i="43" s="1"/>
  <c r="J79" i="43"/>
  <c r="R79" i="43" s="1"/>
  <c r="R78" i="43"/>
  <c r="Q78" i="43"/>
  <c r="K78" i="43"/>
  <c r="J77" i="43"/>
  <c r="R77" i="43" s="1"/>
  <c r="I77" i="43"/>
  <c r="B76" i="43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N75" i="43"/>
  <c r="J6" i="15" s="1"/>
  <c r="M75" i="43"/>
  <c r="I6" i="15" s="1"/>
  <c r="R64" i="43"/>
  <c r="Q64" i="43"/>
  <c r="K64" i="43"/>
  <c r="R63" i="43"/>
  <c r="Q63" i="43"/>
  <c r="K63" i="43"/>
  <c r="J62" i="43"/>
  <c r="I62" i="43"/>
  <c r="I61" i="43" s="1"/>
  <c r="Q61" i="43" s="1"/>
  <c r="R60" i="43"/>
  <c r="Q60" i="43"/>
  <c r="K60" i="43"/>
  <c r="J59" i="43"/>
  <c r="R59" i="43" s="1"/>
  <c r="I59" i="43"/>
  <c r="Q59" i="43" s="1"/>
  <c r="R58" i="43"/>
  <c r="I58" i="43"/>
  <c r="R57" i="43"/>
  <c r="Q57" i="43"/>
  <c r="K57" i="43"/>
  <c r="R56" i="43"/>
  <c r="I56" i="43"/>
  <c r="K56" i="43" s="1"/>
  <c r="J55" i="43"/>
  <c r="R54" i="43"/>
  <c r="I54" i="43"/>
  <c r="R52" i="43"/>
  <c r="Q52" i="43"/>
  <c r="R51" i="43"/>
  <c r="Q51" i="43"/>
  <c r="R50" i="43"/>
  <c r="Q50" i="43"/>
  <c r="R49" i="43"/>
  <c r="M49" i="43"/>
  <c r="Q49" i="43" s="1"/>
  <c r="N48" i="43"/>
  <c r="R47" i="43"/>
  <c r="M47" i="43"/>
  <c r="O47" i="43" s="1"/>
  <c r="N46" i="43"/>
  <c r="R46" i="43" s="1"/>
  <c r="R44" i="43"/>
  <c r="I44" i="43"/>
  <c r="K44" i="43" s="1"/>
  <c r="J43" i="43"/>
  <c r="R41" i="43"/>
  <c r="Q41" i="43"/>
  <c r="O41" i="43"/>
  <c r="N40" i="43"/>
  <c r="R40" i="43" s="1"/>
  <c r="M40" i="43"/>
  <c r="Q40" i="43" s="1"/>
  <c r="R39" i="43"/>
  <c r="M39" i="43"/>
  <c r="O39" i="43" s="1"/>
  <c r="N38" i="43"/>
  <c r="R36" i="43"/>
  <c r="I36" i="43"/>
  <c r="K36" i="43" s="1"/>
  <c r="R35" i="43"/>
  <c r="Q35" i="43"/>
  <c r="K35" i="43"/>
  <c r="R34" i="43"/>
  <c r="Q34" i="43"/>
  <c r="K34" i="43"/>
  <c r="R33" i="43"/>
  <c r="Q33" i="43"/>
  <c r="K33" i="43"/>
  <c r="J32" i="43"/>
  <c r="R32" i="43" s="1"/>
  <c r="R31" i="43"/>
  <c r="I31" i="43"/>
  <c r="Q31" i="43" s="1"/>
  <c r="R29" i="43"/>
  <c r="I29" i="43"/>
  <c r="I26" i="43" s="1"/>
  <c r="Q26" i="43" s="1"/>
  <c r="R28" i="43"/>
  <c r="Q28" i="43"/>
  <c r="K28" i="43"/>
  <c r="R27" i="43"/>
  <c r="Q27" i="43"/>
  <c r="K27" i="43"/>
  <c r="J26" i="43"/>
  <c r="R26" i="43" s="1"/>
  <c r="R25" i="43"/>
  <c r="I25" i="43"/>
  <c r="Q25" i="43" s="1"/>
  <c r="R23" i="43"/>
  <c r="Q23" i="43"/>
  <c r="K23" i="43"/>
  <c r="J22" i="43"/>
  <c r="R22" i="43" s="1"/>
  <c r="I22" i="43"/>
  <c r="I21" i="43" s="1"/>
  <c r="Q21" i="43" s="1"/>
  <c r="R20" i="43"/>
  <c r="Q20" i="43"/>
  <c r="K20" i="43"/>
  <c r="J19" i="43"/>
  <c r="R19" i="43" s="1"/>
  <c r="I19" i="43"/>
  <c r="I18" i="43" s="1"/>
  <c r="Q18" i="43" s="1"/>
  <c r="R17" i="43"/>
  <c r="I17" i="43"/>
  <c r="R16" i="43"/>
  <c r="Q16" i="43"/>
  <c r="K16" i="43"/>
  <c r="R15" i="43"/>
  <c r="I15" i="43"/>
  <c r="K15" i="43" s="1"/>
  <c r="R14" i="43"/>
  <c r="I14" i="43"/>
  <c r="Q14" i="43" s="1"/>
  <c r="R13" i="43"/>
  <c r="Q13" i="43"/>
  <c r="K13" i="43"/>
  <c r="J12" i="43"/>
  <c r="J11" i="43" s="1"/>
  <c r="R11" i="43" s="1"/>
  <c r="B10" i="43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I1655" i="43" l="1"/>
  <c r="Q1655" i="43" s="1"/>
  <c r="S1670" i="43"/>
  <c r="Q507" i="43"/>
  <c r="S507" i="43" s="1"/>
  <c r="I737" i="43"/>
  <c r="I734" i="43" s="1"/>
  <c r="Q734" i="43" s="1"/>
  <c r="Q1786" i="43"/>
  <c r="S1786" i="43" s="1"/>
  <c r="S1789" i="43"/>
  <c r="Q228" i="43"/>
  <c r="M272" i="43"/>
  <c r="Q272" i="43" s="1"/>
  <c r="Q739" i="43"/>
  <c r="Q1138" i="43"/>
  <c r="S1138" i="43" s="1"/>
  <c r="Q1144" i="43"/>
  <c r="J1175" i="43"/>
  <c r="R1175" i="43" s="1"/>
  <c r="S1795" i="43"/>
  <c r="I115" i="43"/>
  <c r="Q115" i="43" s="1"/>
  <c r="J1026" i="43"/>
  <c r="R1026" i="43" s="1"/>
  <c r="R1372" i="43"/>
  <c r="I1393" i="43"/>
  <c r="Q1393" i="43" s="1"/>
  <c r="J1780" i="43"/>
  <c r="S1830" i="43"/>
  <c r="S1868" i="43"/>
  <c r="Q1878" i="43"/>
  <c r="S1878" i="43" s="1"/>
  <c r="M1877" i="43"/>
  <c r="Q1877" i="43" s="1"/>
  <c r="I577" i="43"/>
  <c r="Q577" i="43" s="1"/>
  <c r="S577" i="43" s="1"/>
  <c r="Q750" i="43"/>
  <c r="S750" i="43" s="1"/>
  <c r="K807" i="43"/>
  <c r="M900" i="43"/>
  <c r="Q900" i="43" s="1"/>
  <c r="Q1721" i="43"/>
  <c r="S1721" i="43" s="1"/>
  <c r="S1772" i="43"/>
  <c r="S1788" i="43"/>
  <c r="S1794" i="43"/>
  <c r="S1799" i="43"/>
  <c r="S1820" i="43"/>
  <c r="Q1829" i="43"/>
  <c r="S1829" i="43" s="1"/>
  <c r="K1846" i="43"/>
  <c r="K90" i="43"/>
  <c r="Q186" i="43"/>
  <c r="S186" i="43" s="1"/>
  <c r="Q670" i="43"/>
  <c r="S670" i="43" s="1"/>
  <c r="O1425" i="43"/>
  <c r="R1479" i="43"/>
  <c r="N171" i="43"/>
  <c r="R171" i="43" s="1"/>
  <c r="K962" i="43"/>
  <c r="K84" i="43"/>
  <c r="Q90" i="43"/>
  <c r="I169" i="43"/>
  <c r="Q169" i="43" s="1"/>
  <c r="S169" i="43" s="1"/>
  <c r="K170" i="43"/>
  <c r="Q335" i="43"/>
  <c r="K372" i="43"/>
  <c r="I657" i="43"/>
  <c r="Q657" i="43" s="1"/>
  <c r="Q818" i="43"/>
  <c r="O901" i="43"/>
  <c r="Q940" i="43"/>
  <c r="S940" i="43" s="1"/>
  <c r="Q1050" i="43"/>
  <c r="S1050" i="43" s="1"/>
  <c r="K1272" i="43"/>
  <c r="Q1314" i="43"/>
  <c r="S1314" i="43" s="1"/>
  <c r="K1323" i="43"/>
  <c r="K1420" i="43"/>
  <c r="R1425" i="43"/>
  <c r="I1913" i="43"/>
  <c r="K1913" i="43" s="1"/>
  <c r="J1117" i="43"/>
  <c r="R1117" i="43" s="1"/>
  <c r="J276" i="43"/>
  <c r="R276" i="43" s="1"/>
  <c r="M334" i="43"/>
  <c r="Q334" i="43" s="1"/>
  <c r="Q593" i="43"/>
  <c r="Q659" i="43"/>
  <c r="S659" i="43" s="1"/>
  <c r="J684" i="43"/>
  <c r="Q977" i="43"/>
  <c r="S977" i="43" s="1"/>
  <c r="I1313" i="43"/>
  <c r="Q1313" i="43" s="1"/>
  <c r="Q1333" i="43"/>
  <c r="S1333" i="43" s="1"/>
  <c r="K1337" i="43"/>
  <c r="J1343" i="43"/>
  <c r="M1402" i="43"/>
  <c r="Q1402" i="43" s="1"/>
  <c r="S1834" i="43"/>
  <c r="Q1852" i="43"/>
  <c r="S1852" i="43" s="1"/>
  <c r="S1940" i="43"/>
  <c r="S1520" i="43"/>
  <c r="S1521" i="43"/>
  <c r="S1452" i="43"/>
  <c r="S444" i="43"/>
  <c r="S1702" i="43"/>
  <c r="S442" i="43"/>
  <c r="S1309" i="43"/>
  <c r="S1726" i="43"/>
  <c r="J1700" i="43"/>
  <c r="R1700" i="43" s="1"/>
  <c r="S1516" i="43"/>
  <c r="S1534" i="43"/>
  <c r="S1556" i="43"/>
  <c r="S1404" i="43"/>
  <c r="S1376" i="43"/>
  <c r="S1379" i="43"/>
  <c r="S1383" i="43"/>
  <c r="S1426" i="43"/>
  <c r="S1157" i="43"/>
  <c r="S1224" i="43"/>
  <c r="S1373" i="43"/>
  <c r="S869" i="43"/>
  <c r="S1055" i="43"/>
  <c r="S1476" i="43"/>
  <c r="S1482" i="43"/>
  <c r="S860" i="43"/>
  <c r="S866" i="43"/>
  <c r="S1399" i="43"/>
  <c r="S1457" i="43"/>
  <c r="S643" i="43"/>
  <c r="S717" i="43"/>
  <c r="S903" i="43"/>
  <c r="S1101" i="43"/>
  <c r="S1218" i="43"/>
  <c r="S596" i="43"/>
  <c r="S1013" i="43"/>
  <c r="S321" i="43"/>
  <c r="S324" i="43"/>
  <c r="S326" i="43"/>
  <c r="S329" i="43"/>
  <c r="S897" i="43"/>
  <c r="S1123" i="43"/>
  <c r="S1293" i="43"/>
  <c r="S1311" i="43"/>
  <c r="S822" i="43"/>
  <c r="S1135" i="43"/>
  <c r="S1295" i="43"/>
  <c r="S510" i="43"/>
  <c r="S738" i="43"/>
  <c r="S884" i="43"/>
  <c r="S929" i="43"/>
  <c r="S931" i="43"/>
  <c r="S937" i="43"/>
  <c r="S1047" i="43"/>
  <c r="S1072" i="43"/>
  <c r="S1247" i="43"/>
  <c r="S456" i="43"/>
  <c r="S335" i="43"/>
  <c r="S1028" i="43"/>
  <c r="S1213" i="43"/>
  <c r="S1296" i="43"/>
  <c r="S1329" i="43"/>
  <c r="Q848" i="43"/>
  <c r="S848" i="43" s="1"/>
  <c r="K848" i="43"/>
  <c r="K62" i="43"/>
  <c r="R131" i="43"/>
  <c r="Q133" i="43"/>
  <c r="S133" i="43" s="1"/>
  <c r="S174" i="43"/>
  <c r="K181" i="43"/>
  <c r="I180" i="43"/>
  <c r="Q180" i="43" s="1"/>
  <c r="S180" i="43" s="1"/>
  <c r="Q194" i="43"/>
  <c r="S194" i="43" s="1"/>
  <c r="M193" i="43"/>
  <c r="Q193" i="43" s="1"/>
  <c r="R272" i="43"/>
  <c r="N268" i="43"/>
  <c r="R268" i="43" s="1"/>
  <c r="S580" i="43"/>
  <c r="Q712" i="43"/>
  <c r="S712" i="43" s="1"/>
  <c r="Q727" i="43"/>
  <c r="S727" i="43" s="1"/>
  <c r="Q837" i="43"/>
  <c r="K837" i="43"/>
  <c r="Q857" i="43"/>
  <c r="S857" i="43" s="1"/>
  <c r="K857" i="43"/>
  <c r="K966" i="43"/>
  <c r="K976" i="43"/>
  <c r="Q976" i="43"/>
  <c r="S976" i="43" s="1"/>
  <c r="K1071" i="43"/>
  <c r="Q1071" i="43"/>
  <c r="S1071" i="43" s="1"/>
  <c r="S1234" i="43"/>
  <c r="Q1237" i="43"/>
  <c r="S1237" i="43" s="1"/>
  <c r="K1239" i="43"/>
  <c r="Q1265" i="43"/>
  <c r="S1265" i="43" s="1"/>
  <c r="S1284" i="43"/>
  <c r="K1292" i="43"/>
  <c r="S1345" i="43"/>
  <c r="S1400" i="43"/>
  <c r="S1474" i="43"/>
  <c r="R1697" i="43"/>
  <c r="J1696" i="43"/>
  <c r="K1696" i="43" s="1"/>
  <c r="S1906" i="43"/>
  <c r="R1136" i="43"/>
  <c r="J1133" i="43"/>
  <c r="R1133" i="43" s="1"/>
  <c r="Q1269" i="43"/>
  <c r="S1269" i="43" s="1"/>
  <c r="K1269" i="43"/>
  <c r="R1398" i="43"/>
  <c r="J1397" i="43"/>
  <c r="O1487" i="43"/>
  <c r="Q1487" i="43"/>
  <c r="S1487" i="43" s="1"/>
  <c r="J111" i="43"/>
  <c r="R111" i="43" s="1"/>
  <c r="K127" i="43"/>
  <c r="O516" i="43"/>
  <c r="Q516" i="43"/>
  <c r="S516" i="43" s="1"/>
  <c r="S603" i="43"/>
  <c r="K702" i="43"/>
  <c r="Q702" i="43"/>
  <c r="S702" i="43" s="1"/>
  <c r="S775" i="43"/>
  <c r="Q788" i="43"/>
  <c r="K788" i="43"/>
  <c r="K820" i="43"/>
  <c r="Q820" i="43"/>
  <c r="S820" i="43" s="1"/>
  <c r="Q849" i="43"/>
  <c r="K849" i="43"/>
  <c r="Q859" i="43"/>
  <c r="S859" i="43" s="1"/>
  <c r="J847" i="43"/>
  <c r="J875" i="43"/>
  <c r="S911" i="43"/>
  <c r="Q921" i="43"/>
  <c r="S921" i="43" s="1"/>
  <c r="K921" i="43"/>
  <c r="S957" i="43"/>
  <c r="Q965" i="43"/>
  <c r="S965" i="43" s="1"/>
  <c r="K965" i="43"/>
  <c r="S1000" i="43"/>
  <c r="Q1007" i="43"/>
  <c r="S1007" i="43" s="1"/>
  <c r="S1087" i="43"/>
  <c r="S1096" i="43"/>
  <c r="S1155" i="43"/>
  <c r="S1161" i="43"/>
  <c r="R1192" i="43"/>
  <c r="S1192" i="43" s="1"/>
  <c r="N1191" i="43"/>
  <c r="R1191" i="43" s="1"/>
  <c r="S1193" i="43"/>
  <c r="S1200" i="43"/>
  <c r="Q1209" i="43"/>
  <c r="S1209" i="43" s="1"/>
  <c r="Q1214" i="43"/>
  <c r="S1214" i="43" s="1"/>
  <c r="K1219" i="43"/>
  <c r="Q1219" i="43"/>
  <c r="S1219" i="43" s="1"/>
  <c r="K1260" i="43"/>
  <c r="Q1260" i="43"/>
  <c r="S1260" i="43" s="1"/>
  <c r="Q1287" i="43"/>
  <c r="S1287" i="43" s="1"/>
  <c r="K1287" i="43"/>
  <c r="K1340" i="43"/>
  <c r="R1340" i="43"/>
  <c r="S1340" i="43" s="1"/>
  <c r="K1342" i="43"/>
  <c r="Q1342" i="43"/>
  <c r="S1342" i="43" s="1"/>
  <c r="S1375" i="43"/>
  <c r="R1390" i="43"/>
  <c r="S1535" i="43"/>
  <c r="K1632" i="43"/>
  <c r="J1668" i="43"/>
  <c r="R1669" i="43"/>
  <c r="R1679" i="43"/>
  <c r="J1678" i="43"/>
  <c r="J1674" i="43" s="1"/>
  <c r="S1706" i="43"/>
  <c r="S1835" i="43"/>
  <c r="S1934" i="43"/>
  <c r="K188" i="43"/>
  <c r="Q188" i="43"/>
  <c r="S188" i="43" s="1"/>
  <c r="I183" i="43"/>
  <c r="I182" i="43" s="1"/>
  <c r="Q277" i="43"/>
  <c r="S277" i="43" s="1"/>
  <c r="I276" i="43"/>
  <c r="Q276" i="43" s="1"/>
  <c r="R1773" i="43"/>
  <c r="J1770" i="43"/>
  <c r="J1769" i="43" s="1"/>
  <c r="R1769" i="43" s="1"/>
  <c r="Q1817" i="43"/>
  <c r="S1817" i="43" s="1"/>
  <c r="K1817" i="43"/>
  <c r="Q127" i="43"/>
  <c r="S127" i="43" s="1"/>
  <c r="K141" i="43"/>
  <c r="K164" i="43"/>
  <c r="Q164" i="43"/>
  <c r="S164" i="43" s="1"/>
  <c r="O191" i="43"/>
  <c r="Q191" i="43"/>
  <c r="S191" i="43" s="1"/>
  <c r="Q199" i="43"/>
  <c r="M195" i="43"/>
  <c r="J250" i="43"/>
  <c r="J249" i="43" s="1"/>
  <c r="Q264" i="43"/>
  <c r="S264" i="43" s="1"/>
  <c r="K264" i="43"/>
  <c r="K762" i="43"/>
  <c r="Q762" i="43"/>
  <c r="S762" i="43" s="1"/>
  <c r="Q858" i="43"/>
  <c r="S858" i="43" s="1"/>
  <c r="K858" i="43"/>
  <c r="K948" i="43"/>
  <c r="Q948" i="43"/>
  <c r="S948" i="43" s="1"/>
  <c r="K990" i="43"/>
  <c r="S1080" i="43"/>
  <c r="S1150" i="43"/>
  <c r="K1153" i="43"/>
  <c r="Q1153" i="43"/>
  <c r="S1153" i="43" s="1"/>
  <c r="O1192" i="43"/>
  <c r="Q1275" i="43"/>
  <c r="S1275" i="43" s="1"/>
  <c r="K1275" i="43"/>
  <c r="Q1350" i="43"/>
  <c r="S1350" i="43" s="1"/>
  <c r="I1346" i="43"/>
  <c r="K1346" i="43" s="1"/>
  <c r="S1523" i="43"/>
  <c r="R1537" i="43"/>
  <c r="J1536" i="43"/>
  <c r="R1536" i="43" s="1"/>
  <c r="K1625" i="43"/>
  <c r="R1625" i="43"/>
  <c r="S1625" i="43" s="1"/>
  <c r="S1813" i="43"/>
  <c r="J1816" i="43"/>
  <c r="R1816" i="43" s="1"/>
  <c r="J177" i="43"/>
  <c r="R177" i="43" s="1"/>
  <c r="S703" i="43"/>
  <c r="S763" i="43"/>
  <c r="S774" i="43"/>
  <c r="S789" i="43"/>
  <c r="S966" i="43"/>
  <c r="S988" i="43"/>
  <c r="S1030" i="43"/>
  <c r="S1061" i="43"/>
  <c r="S1074" i="43"/>
  <c r="S1076" i="43"/>
  <c r="S1084" i="43"/>
  <c r="S1119" i="43"/>
  <c r="S1154" i="43"/>
  <c r="S1272" i="43"/>
  <c r="S1279" i="43"/>
  <c r="S1316" i="43"/>
  <c r="S1347" i="43"/>
  <c r="S1437" i="43"/>
  <c r="S1438" i="43"/>
  <c r="S1441" i="43"/>
  <c r="M1671" i="43"/>
  <c r="Q1671" i="43" s="1"/>
  <c r="S1682" i="43"/>
  <c r="S1685" i="43"/>
  <c r="S1694" i="43"/>
  <c r="R363" i="43"/>
  <c r="Q587" i="43"/>
  <c r="S587" i="43" s="1"/>
  <c r="Q619" i="43"/>
  <c r="S619" i="43" s="1"/>
  <c r="K622" i="43"/>
  <c r="S644" i="43"/>
  <c r="S647" i="43"/>
  <c r="Q689" i="43"/>
  <c r="S689" i="43" s="1"/>
  <c r="K746" i="43"/>
  <c r="S755" i="43"/>
  <c r="S801" i="43"/>
  <c r="K819" i="43"/>
  <c r="S837" i="43"/>
  <c r="S849" i="43"/>
  <c r="S922" i="43"/>
  <c r="S942" i="43"/>
  <c r="K988" i="43"/>
  <c r="I994" i="43"/>
  <c r="Q994" i="43" s="1"/>
  <c r="S1006" i="43"/>
  <c r="Q1027" i="43"/>
  <c r="S1027" i="43" s="1"/>
  <c r="Q1037" i="43"/>
  <c r="S1037" i="43" s="1"/>
  <c r="S1060" i="43"/>
  <c r="Q1068" i="43"/>
  <c r="S1068" i="43" s="1"/>
  <c r="Q1081" i="43"/>
  <c r="S1081" i="43" s="1"/>
  <c r="S1103" i="43"/>
  <c r="Q1122" i="43"/>
  <c r="S1122" i="43" s="1"/>
  <c r="S1124" i="43"/>
  <c r="S1126" i="43"/>
  <c r="J1148" i="43"/>
  <c r="R1148" i="43" s="1"/>
  <c r="J1162" i="43"/>
  <c r="R1162" i="43" s="1"/>
  <c r="S1162" i="43" s="1"/>
  <c r="S1232" i="43"/>
  <c r="K1247" i="43"/>
  <c r="R1253" i="43"/>
  <c r="S1266" i="43"/>
  <c r="K1279" i="43"/>
  <c r="Q1286" i="43"/>
  <c r="S1286" i="43" s="1"/>
  <c r="S1301" i="43"/>
  <c r="S1304" i="43"/>
  <c r="K1306" i="43"/>
  <c r="S1315" i="43"/>
  <c r="Q1351" i="43"/>
  <c r="S1351" i="43" s="1"/>
  <c r="S1388" i="43"/>
  <c r="S1395" i="43"/>
  <c r="S1431" i="43"/>
  <c r="K1434" i="43"/>
  <c r="K1437" i="43"/>
  <c r="S1445" i="43"/>
  <c r="O1457" i="43"/>
  <c r="S1546" i="43"/>
  <c r="S1626" i="43"/>
  <c r="Q1656" i="43"/>
  <c r="S1656" i="43" s="1"/>
  <c r="S1800" i="43"/>
  <c r="S1811" i="43"/>
  <c r="Q1918" i="43"/>
  <c r="S1918" i="43" s="1"/>
  <c r="S1954" i="43"/>
  <c r="Q724" i="43"/>
  <c r="S724" i="43" s="1"/>
  <c r="K724" i="43"/>
  <c r="I765" i="43"/>
  <c r="Q765" i="43" s="1"/>
  <c r="S765" i="43" s="1"/>
  <c r="Q829" i="43"/>
  <c r="S829" i="43" s="1"/>
  <c r="K829" i="43"/>
  <c r="Q947" i="43"/>
  <c r="S947" i="43" s="1"/>
  <c r="K947" i="43"/>
  <c r="K1044" i="43"/>
  <c r="Q1044" i="43"/>
  <c r="S1044" i="43" s="1"/>
  <c r="J76" i="43"/>
  <c r="R76" i="43" s="1"/>
  <c r="I86" i="43"/>
  <c r="Q86" i="43" s="1"/>
  <c r="Q139" i="43"/>
  <c r="S139" i="43" s="1"/>
  <c r="Q142" i="43"/>
  <c r="S142" i="43" s="1"/>
  <c r="K142" i="43"/>
  <c r="Q257" i="43"/>
  <c r="S257" i="43" s="1"/>
  <c r="Q330" i="43"/>
  <c r="S330" i="43" s="1"/>
  <c r="K330" i="43"/>
  <c r="Q424" i="43"/>
  <c r="I423" i="43"/>
  <c r="Q423" i="43" s="1"/>
  <c r="O512" i="43"/>
  <c r="Q512" i="43"/>
  <c r="S512" i="43" s="1"/>
  <c r="Q616" i="43"/>
  <c r="S616" i="43" s="1"/>
  <c r="K616" i="43"/>
  <c r="Q656" i="43"/>
  <c r="S656" i="43" s="1"/>
  <c r="K656" i="43"/>
  <c r="K77" i="43"/>
  <c r="Q160" i="43"/>
  <c r="S160" i="43" s="1"/>
  <c r="Q181" i="43"/>
  <c r="S181" i="43" s="1"/>
  <c r="J214" i="43"/>
  <c r="R214" i="43" s="1"/>
  <c r="S214" i="43" s="1"/>
  <c r="K277" i="43"/>
  <c r="R343" i="43"/>
  <c r="S343" i="43" s="1"/>
  <c r="O343" i="43"/>
  <c r="K424" i="43"/>
  <c r="S430" i="43"/>
  <c r="S463" i="43"/>
  <c r="S469" i="43"/>
  <c r="S477" i="43"/>
  <c r="O499" i="43"/>
  <c r="S500" i="43"/>
  <c r="S590" i="43"/>
  <c r="K631" i="43"/>
  <c r="Q631" i="43"/>
  <c r="S631" i="43" s="1"/>
  <c r="Q642" i="43"/>
  <c r="S642" i="43" s="1"/>
  <c r="Q652" i="43"/>
  <c r="S652" i="43" s="1"/>
  <c r="S653" i="43"/>
  <c r="K658" i="43"/>
  <c r="S662" i="43"/>
  <c r="S665" i="43"/>
  <c r="J768" i="43"/>
  <c r="J767" i="43" s="1"/>
  <c r="R767" i="43" s="1"/>
  <c r="S770" i="43"/>
  <c r="Q885" i="43"/>
  <c r="S885" i="43" s="1"/>
  <c r="Q895" i="43"/>
  <c r="S895" i="43" s="1"/>
  <c r="K895" i="43"/>
  <c r="S912" i="43"/>
  <c r="Q939" i="43"/>
  <c r="S939" i="43" s="1"/>
  <c r="K939" i="43"/>
  <c r="K1544" i="43"/>
  <c r="Q1544" i="43"/>
  <c r="S1544" i="43" s="1"/>
  <c r="Q1937" i="43"/>
  <c r="S1937" i="43" s="1"/>
  <c r="I1936" i="43"/>
  <c r="K1936" i="43" s="1"/>
  <c r="R369" i="43"/>
  <c r="S369" i="43" s="1"/>
  <c r="J368" i="43"/>
  <c r="R368" i="43" s="1"/>
  <c r="M454" i="43"/>
  <c r="Q455" i="43"/>
  <c r="S455" i="43" s="1"/>
  <c r="Q498" i="43"/>
  <c r="S498" i="43" s="1"/>
  <c r="O498" i="43"/>
  <c r="Q634" i="43"/>
  <c r="M633" i="43"/>
  <c r="M624" i="43" s="1"/>
  <c r="Q722" i="43"/>
  <c r="S722" i="43" s="1"/>
  <c r="O722" i="43"/>
  <c r="M721" i="43"/>
  <c r="M720" i="43" s="1"/>
  <c r="K729" i="43"/>
  <c r="Q729" i="43"/>
  <c r="S729" i="43" s="1"/>
  <c r="Q743" i="43"/>
  <c r="S743" i="43" s="1"/>
  <c r="K743" i="43"/>
  <c r="Q769" i="43"/>
  <c r="S769" i="43" s="1"/>
  <c r="K769" i="43"/>
  <c r="Q784" i="43"/>
  <c r="S784" i="43" s="1"/>
  <c r="K784" i="43"/>
  <c r="K910" i="43"/>
  <c r="Q910" i="43"/>
  <c r="S910" i="43" s="1"/>
  <c r="K913" i="43"/>
  <c r="Q913" i="43"/>
  <c r="S913" i="43" s="1"/>
  <c r="I1433" i="43"/>
  <c r="Q1433" i="43" s="1"/>
  <c r="Q1436" i="43"/>
  <c r="Q1845" i="43"/>
  <c r="S1845" i="43" s="1"/>
  <c r="I1840" i="43"/>
  <c r="K1840" i="43" s="1"/>
  <c r="K1845" i="43"/>
  <c r="J18" i="43"/>
  <c r="R18" i="43" s="1"/>
  <c r="S18" i="43" s="1"/>
  <c r="I79" i="43"/>
  <c r="Q79" i="43" s="1"/>
  <c r="S79" i="43" s="1"/>
  <c r="I83" i="43"/>
  <c r="Q83" i="43" s="1"/>
  <c r="R85" i="43"/>
  <c r="S85" i="43" s="1"/>
  <c r="J118" i="43"/>
  <c r="O123" i="43"/>
  <c r="Q123" i="43"/>
  <c r="S123" i="43" s="1"/>
  <c r="M128" i="43"/>
  <c r="O128" i="43" s="1"/>
  <c r="O129" i="43"/>
  <c r="Q183" i="43"/>
  <c r="S183" i="43" s="1"/>
  <c r="I230" i="43"/>
  <c r="Q230" i="43" s="1"/>
  <c r="Q319" i="43"/>
  <c r="S319" i="43" s="1"/>
  <c r="M365" i="43"/>
  <c r="Q365" i="43" s="1"/>
  <c r="S459" i="43"/>
  <c r="Q515" i="43"/>
  <c r="S515" i="43" s="1"/>
  <c r="Q518" i="43"/>
  <c r="S518" i="43" s="1"/>
  <c r="M599" i="43"/>
  <c r="Q600" i="43"/>
  <c r="S600" i="43" s="1"/>
  <c r="K602" i="43"/>
  <c r="Q637" i="43"/>
  <c r="S637" i="43" s="1"/>
  <c r="K637" i="43"/>
  <c r="S671" i="43"/>
  <c r="K681" i="43"/>
  <c r="S705" i="43"/>
  <c r="Q710" i="43"/>
  <c r="S710" i="43" s="1"/>
  <c r="K766" i="43"/>
  <c r="K806" i="43"/>
  <c r="M825" i="43"/>
  <c r="M824" i="43" s="1"/>
  <c r="M872" i="43"/>
  <c r="Q872" i="43" s="1"/>
  <c r="Q877" i="43"/>
  <c r="S877" i="43" s="1"/>
  <c r="K877" i="43"/>
  <c r="Q924" i="43"/>
  <c r="S924" i="43" s="1"/>
  <c r="K924" i="43"/>
  <c r="J1001" i="43"/>
  <c r="R1001" i="43" s="1"/>
  <c r="K1322" i="43"/>
  <c r="Q1322" i="43"/>
  <c r="S1322" i="43" s="1"/>
  <c r="S434" i="43"/>
  <c r="S441" i="43"/>
  <c r="I439" i="43"/>
  <c r="K439" i="43" s="1"/>
  <c r="S462" i="43"/>
  <c r="S468" i="43"/>
  <c r="S476" i="43"/>
  <c r="S479" i="43"/>
  <c r="S485" i="43"/>
  <c r="S493" i="43"/>
  <c r="S525" i="43"/>
  <c r="S528" i="43"/>
  <c r="S582" i="43"/>
  <c r="S584" i="43"/>
  <c r="S610" i="43"/>
  <c r="S658" i="43"/>
  <c r="S701" i="43"/>
  <c r="S725" i="43"/>
  <c r="S785" i="43"/>
  <c r="S800" i="43"/>
  <c r="S806" i="43"/>
  <c r="S809" i="43"/>
  <c r="S834" i="43"/>
  <c r="S882" i="43"/>
  <c r="K944" i="43"/>
  <c r="Q944" i="43"/>
  <c r="S944" i="43" s="1"/>
  <c r="R985" i="43"/>
  <c r="J982" i="43"/>
  <c r="R982" i="43" s="1"/>
  <c r="K1099" i="43"/>
  <c r="Q1099" i="43"/>
  <c r="S1099" i="43" s="1"/>
  <c r="R1112" i="43"/>
  <c r="J1109" i="43"/>
  <c r="R1109" i="43" s="1"/>
  <c r="R1185" i="43"/>
  <c r="J1182" i="43"/>
  <c r="K1195" i="43"/>
  <c r="Q1195" i="43"/>
  <c r="S1195" i="43" s="1"/>
  <c r="K1233" i="43"/>
  <c r="K1248" i="43"/>
  <c r="Q1248" i="43"/>
  <c r="S1248" i="43" s="1"/>
  <c r="Q1368" i="43"/>
  <c r="I1367" i="43"/>
  <c r="Q1367" i="43" s="1"/>
  <c r="R1394" i="43"/>
  <c r="S1394" i="43" s="1"/>
  <c r="J1393" i="43"/>
  <c r="R1393" i="43" s="1"/>
  <c r="S1393" i="43" s="1"/>
  <c r="R1402" i="43"/>
  <c r="N1397" i="43"/>
  <c r="Q1410" i="43"/>
  <c r="S1410" i="43" s="1"/>
  <c r="M1409" i="43"/>
  <c r="Q1409" i="43" s="1"/>
  <c r="S1409" i="43" s="1"/>
  <c r="S1464" i="43"/>
  <c r="S1642" i="43"/>
  <c r="R1705" i="43"/>
  <c r="J1704" i="43"/>
  <c r="R1704" i="43" s="1"/>
  <c r="S1715" i="43"/>
  <c r="Q1724" i="43"/>
  <c r="S1724" i="43" s="1"/>
  <c r="M1723" i="43"/>
  <c r="Q1723" i="43" s="1"/>
  <c r="O1725" i="43"/>
  <c r="S1782" i="43"/>
  <c r="S1787" i="43"/>
  <c r="S1790" i="43"/>
  <c r="S1822" i="43"/>
  <c r="Q1899" i="43"/>
  <c r="S1899" i="43" s="1"/>
  <c r="I1898" i="43"/>
  <c r="Q1898" i="43" s="1"/>
  <c r="S1898" i="43" s="1"/>
  <c r="K1899" i="43"/>
  <c r="K1935" i="43"/>
  <c r="I1933" i="43"/>
  <c r="Q1933" i="43" s="1"/>
  <c r="S426" i="43"/>
  <c r="Q432" i="43"/>
  <c r="S432" i="43" s="1"/>
  <c r="S433" i="43"/>
  <c r="S501" i="43"/>
  <c r="S508" i="43"/>
  <c r="S509" i="43"/>
  <c r="S530" i="43"/>
  <c r="S544" i="43"/>
  <c r="Q589" i="43"/>
  <c r="S589" i="43" s="1"/>
  <c r="S597" i="43"/>
  <c r="S620" i="43"/>
  <c r="S628" i="43"/>
  <c r="S630" i="43"/>
  <c r="Q664" i="43"/>
  <c r="S664" i="43" s="1"/>
  <c r="S690" i="43"/>
  <c r="S692" i="43"/>
  <c r="Q698" i="43"/>
  <c r="S698" i="43" s="1"/>
  <c r="J734" i="43"/>
  <c r="R734" i="43" s="1"/>
  <c r="Q736" i="43"/>
  <c r="S736" i="43" s="1"/>
  <c r="S772" i="43"/>
  <c r="K821" i="43"/>
  <c r="S823" i="43"/>
  <c r="K860" i="43"/>
  <c r="K903" i="43"/>
  <c r="K923" i="43"/>
  <c r="Q923" i="43"/>
  <c r="S923" i="43" s="1"/>
  <c r="K938" i="43"/>
  <c r="S974" i="43"/>
  <c r="S983" i="43"/>
  <c r="K1042" i="43"/>
  <c r="Q1042" i="43"/>
  <c r="S1042" i="43" s="1"/>
  <c r="R1097" i="43"/>
  <c r="J1094" i="43"/>
  <c r="R1094" i="43" s="1"/>
  <c r="S1104" i="43"/>
  <c r="J1156" i="43"/>
  <c r="R1156" i="43" s="1"/>
  <c r="Q1160" i="43"/>
  <c r="S1160" i="43" s="1"/>
  <c r="I1159" i="43"/>
  <c r="K1159" i="43" s="1"/>
  <c r="K1160" i="43"/>
  <c r="S1173" i="43"/>
  <c r="K1187" i="43"/>
  <c r="Q1217" i="43"/>
  <c r="S1217" i="43" s="1"/>
  <c r="I1215" i="43"/>
  <c r="Q1215" i="43" s="1"/>
  <c r="I1230" i="43"/>
  <c r="Q1230" i="43" s="1"/>
  <c r="R1233" i="43"/>
  <c r="S1233" i="43" s="1"/>
  <c r="R1258" i="43"/>
  <c r="J1255" i="43"/>
  <c r="R1255" i="43" s="1"/>
  <c r="S1378" i="43"/>
  <c r="S1386" i="43"/>
  <c r="O1410" i="43"/>
  <c r="K1435" i="43"/>
  <c r="O1462" i="43"/>
  <c r="Q1462" i="43"/>
  <c r="S1462" i="43" s="1"/>
  <c r="J1514" i="43"/>
  <c r="R1514" i="43" s="1"/>
  <c r="S1524" i="43"/>
  <c r="S1660" i="43"/>
  <c r="S1676" i="43"/>
  <c r="S1698" i="43"/>
  <c r="K1712" i="43"/>
  <c r="Q1712" i="43"/>
  <c r="S1712" i="43" s="1"/>
  <c r="O1724" i="43"/>
  <c r="S1804" i="43"/>
  <c r="S1821" i="43"/>
  <c r="S1824" i="43"/>
  <c r="S1950" i="43"/>
  <c r="Q1953" i="43"/>
  <c r="M1952" i="43"/>
  <c r="K1228" i="43"/>
  <c r="Q1228" i="43"/>
  <c r="S1228" i="43" s="1"/>
  <c r="Q1245" i="43"/>
  <c r="S1245" i="43" s="1"/>
  <c r="K1245" i="43"/>
  <c r="R1339" i="43"/>
  <c r="S1339" i="43" s="1"/>
  <c r="J1335" i="43"/>
  <c r="O1467" i="43"/>
  <c r="R1467" i="43"/>
  <c r="S1467" i="43" s="1"/>
  <c r="Q1776" i="43"/>
  <c r="S1776" i="43" s="1"/>
  <c r="K1776" i="43"/>
  <c r="Q1843" i="43"/>
  <c r="S1843" i="43" s="1"/>
  <c r="K1843" i="43"/>
  <c r="S1870" i="43"/>
  <c r="K1888" i="43"/>
  <c r="Q1888" i="43"/>
  <c r="S1888" i="43" s="1"/>
  <c r="S962" i="43"/>
  <c r="S989" i="43"/>
  <c r="S997" i="43"/>
  <c r="S1058" i="43"/>
  <c r="S1100" i="43"/>
  <c r="S1107" i="43"/>
  <c r="S1132" i="43"/>
  <c r="S1134" i="43"/>
  <c r="S1163" i="43"/>
  <c r="S1249" i="43"/>
  <c r="S1385" i="43"/>
  <c r="S1417" i="43"/>
  <c r="S1463" i="43"/>
  <c r="S1623" i="43"/>
  <c r="S1636" i="43"/>
  <c r="S1771" i="43"/>
  <c r="S1805" i="43"/>
  <c r="S1807" i="43"/>
  <c r="S1846" i="43"/>
  <c r="S1917" i="43"/>
  <c r="Q928" i="43"/>
  <c r="S928" i="43" s="1"/>
  <c r="S936" i="43"/>
  <c r="Q992" i="43"/>
  <c r="S992" i="43" s="1"/>
  <c r="K996" i="43"/>
  <c r="S1091" i="43"/>
  <c r="S1149" i="43"/>
  <c r="S1298" i="43"/>
  <c r="K1421" i="43"/>
  <c r="S1466" i="43"/>
  <c r="S1526" i="43"/>
  <c r="S1529" i="43"/>
  <c r="S1549" i="43"/>
  <c r="S1550" i="43"/>
  <c r="O1622" i="43"/>
  <c r="S1635" i="43"/>
  <c r="Q1647" i="43"/>
  <c r="S1647" i="43" s="1"/>
  <c r="S1648" i="43"/>
  <c r="S1652" i="43"/>
  <c r="S1692" i="43"/>
  <c r="S1695" i="43"/>
  <c r="K1697" i="43"/>
  <c r="Q1718" i="43"/>
  <c r="S1718" i="43" s="1"/>
  <c r="S1719" i="43"/>
  <c r="J1880" i="43"/>
  <c r="J1879" i="43" s="1"/>
  <c r="S1949" i="43"/>
  <c r="S534" i="43"/>
  <c r="S437" i="43"/>
  <c r="S464" i="43"/>
  <c r="S474" i="43"/>
  <c r="S497" i="43"/>
  <c r="S532" i="43"/>
  <c r="S538" i="43"/>
  <c r="S543" i="43"/>
  <c r="S435" i="43"/>
  <c r="S450" i="43"/>
  <c r="S452" i="43"/>
  <c r="S519" i="43"/>
  <c r="S248" i="43"/>
  <c r="S465" i="43"/>
  <c r="S475" i="43"/>
  <c r="S482" i="43"/>
  <c r="S492" i="43"/>
  <c r="S495" i="43"/>
  <c r="S502" i="43"/>
  <c r="S354" i="43"/>
  <c r="S255" i="43"/>
  <c r="S117" i="43"/>
  <c r="S137" i="43"/>
  <c r="S147" i="43"/>
  <c r="S149" i="43"/>
  <c r="S157" i="43"/>
  <c r="S162" i="43"/>
  <c r="S184" i="43"/>
  <c r="S216" i="43"/>
  <c r="S226" i="43"/>
  <c r="S229" i="43"/>
  <c r="S234" i="43"/>
  <c r="S256" i="43"/>
  <c r="S280" i="43"/>
  <c r="S327" i="43"/>
  <c r="S353" i="43"/>
  <c r="S370" i="43"/>
  <c r="S322" i="43"/>
  <c r="S381" i="43"/>
  <c r="S349" i="43"/>
  <c r="S344" i="43"/>
  <c r="S347" i="43"/>
  <c r="S357" i="43"/>
  <c r="S374" i="43"/>
  <c r="S379" i="43"/>
  <c r="S262" i="43"/>
  <c r="S271" i="43"/>
  <c r="S150" i="43"/>
  <c r="S232" i="43"/>
  <c r="S244" i="43"/>
  <c r="S273" i="43"/>
  <c r="S145" i="43"/>
  <c r="S156" i="43"/>
  <c r="S242" i="43"/>
  <c r="S263" i="43"/>
  <c r="S279" i="43"/>
  <c r="S120" i="43"/>
  <c r="S140" i="43"/>
  <c r="S187" i="43"/>
  <c r="S198" i="43"/>
  <c r="S236" i="43"/>
  <c r="S278" i="43"/>
  <c r="S231" i="43"/>
  <c r="S238" i="43"/>
  <c r="S267" i="43"/>
  <c r="S270" i="43"/>
  <c r="S146" i="43"/>
  <c r="S168" i="43"/>
  <c r="S170" i="43"/>
  <c r="S78" i="43"/>
  <c r="S59" i="43"/>
  <c r="S129" i="43"/>
  <c r="S166" i="43"/>
  <c r="S35" i="43"/>
  <c r="S64" i="43"/>
  <c r="S88" i="43"/>
  <c r="S28" i="43"/>
  <c r="S91" i="43"/>
  <c r="S34" i="43"/>
  <c r="S63" i="43"/>
  <c r="J436" i="43"/>
  <c r="R436" i="43" s="1"/>
  <c r="S1641" i="43"/>
  <c r="S233" i="43"/>
  <c r="K445" i="43"/>
  <c r="Q445" i="43"/>
  <c r="S445" i="43" s="1"/>
  <c r="R591" i="43"/>
  <c r="J588" i="43"/>
  <c r="K646" i="43"/>
  <c r="Q646" i="43"/>
  <c r="S646" i="43" s="1"/>
  <c r="R657" i="43"/>
  <c r="Q935" i="43"/>
  <c r="S935" i="43" s="1"/>
  <c r="K935" i="43"/>
  <c r="K961" i="43"/>
  <c r="Q961" i="43"/>
  <c r="S961" i="43" s="1"/>
  <c r="K1031" i="43"/>
  <c r="Q1031" i="43"/>
  <c r="S1031" i="43" s="1"/>
  <c r="K1555" i="43"/>
  <c r="J1554" i="43"/>
  <c r="R1554" i="43" s="1"/>
  <c r="S1554" i="43" s="1"/>
  <c r="R1555" i="43"/>
  <c r="Q679" i="43"/>
  <c r="S679" i="43" s="1"/>
  <c r="K679" i="43"/>
  <c r="K718" i="43"/>
  <c r="Q718" i="43"/>
  <c r="S718" i="43" s="1"/>
  <c r="Q968" i="43"/>
  <c r="S968" i="43" s="1"/>
  <c r="K968" i="43"/>
  <c r="K1278" i="43"/>
  <c r="Q1278" i="43"/>
  <c r="S1278" i="43" s="1"/>
  <c r="O1465" i="43"/>
  <c r="N1461" i="43"/>
  <c r="R1461" i="43" s="1"/>
  <c r="M1557" i="43"/>
  <c r="Q1557" i="43" s="1"/>
  <c r="Q1558" i="43"/>
  <c r="S25" i="43"/>
  <c r="S27" i="43"/>
  <c r="I32" i="43"/>
  <c r="Q32" i="43" s="1"/>
  <c r="S32" i="43" s="1"/>
  <c r="Q82" i="43"/>
  <c r="S82" i="43" s="1"/>
  <c r="R83" i="43"/>
  <c r="I119" i="43"/>
  <c r="K119" i="43" s="1"/>
  <c r="S126" i="43"/>
  <c r="I155" i="43"/>
  <c r="Q155" i="43" s="1"/>
  <c r="S155" i="43" s="1"/>
  <c r="K156" i="43"/>
  <c r="K162" i="43"/>
  <c r="S167" i="43"/>
  <c r="R172" i="43"/>
  <c r="S185" i="43"/>
  <c r="O194" i="43"/>
  <c r="S217" i="43"/>
  <c r="Q221" i="43"/>
  <c r="S221" i="43" s="1"/>
  <c r="K223" i="43"/>
  <c r="S224" i="43"/>
  <c r="S225" i="43"/>
  <c r="J230" i="43"/>
  <c r="K233" i="43"/>
  <c r="S235" i="43"/>
  <c r="I240" i="43"/>
  <c r="I239" i="43" s="1"/>
  <c r="S243" i="43"/>
  <c r="S266" i="43"/>
  <c r="Q274" i="43"/>
  <c r="S274" i="43" s="1"/>
  <c r="K323" i="43"/>
  <c r="R328" i="43"/>
  <c r="S328" i="43" s="1"/>
  <c r="K328" i="43"/>
  <c r="S342" i="43"/>
  <c r="O346" i="43"/>
  <c r="R346" i="43"/>
  <c r="R360" i="43"/>
  <c r="S360" i="43" s="1"/>
  <c r="N359" i="43"/>
  <c r="N348" i="43" s="1"/>
  <c r="S361" i="43"/>
  <c r="Q378" i="43"/>
  <c r="I377" i="43"/>
  <c r="Q377" i="43" s="1"/>
  <c r="K443" i="43"/>
  <c r="R481" i="43"/>
  <c r="N480" i="43"/>
  <c r="N458" i="43" s="1"/>
  <c r="Q494" i="43"/>
  <c r="S494" i="43" s="1"/>
  <c r="O494" i="43"/>
  <c r="S503" i="43"/>
  <c r="O506" i="43"/>
  <c r="Q511" i="43"/>
  <c r="S511" i="43" s="1"/>
  <c r="O517" i="43"/>
  <c r="Q517" i="43"/>
  <c r="S517" i="43" s="1"/>
  <c r="Q529" i="43"/>
  <c r="S529" i="43" s="1"/>
  <c r="K581" i="43"/>
  <c r="Q581" i="43"/>
  <c r="S581" i="43" s="1"/>
  <c r="K604" i="43"/>
  <c r="S605" i="43"/>
  <c r="Q608" i="43"/>
  <c r="S608" i="43" s="1"/>
  <c r="Q611" i="43"/>
  <c r="S611" i="43" s="1"/>
  <c r="R618" i="43"/>
  <c r="J615" i="43"/>
  <c r="R615" i="43" s="1"/>
  <c r="J624" i="43"/>
  <c r="K626" i="43"/>
  <c r="S641" i="43"/>
  <c r="R648" i="43"/>
  <c r="K650" i="43"/>
  <c r="Q668" i="43"/>
  <c r="S668" i="43" s="1"/>
  <c r="K668" i="43"/>
  <c r="K677" i="43"/>
  <c r="Q677" i="43"/>
  <c r="S677" i="43" s="1"/>
  <c r="K691" i="43"/>
  <c r="R700" i="43"/>
  <c r="M731" i="43"/>
  <c r="Q732" i="43"/>
  <c r="Q748" i="43"/>
  <c r="S748" i="43" s="1"/>
  <c r="K748" i="43"/>
  <c r="K760" i="43"/>
  <c r="Q760" i="43"/>
  <c r="S760" i="43" s="1"/>
  <c r="R768" i="43"/>
  <c r="K776" i="43"/>
  <c r="Q790" i="43"/>
  <c r="S790" i="43" s="1"/>
  <c r="K790" i="43"/>
  <c r="Q817" i="43"/>
  <c r="S817" i="43" s="1"/>
  <c r="K817" i="43"/>
  <c r="Q836" i="43"/>
  <c r="S836" i="43" s="1"/>
  <c r="K836" i="43"/>
  <c r="Q887" i="43"/>
  <c r="S887" i="43" s="1"/>
  <c r="K887" i="43"/>
  <c r="Q1024" i="43"/>
  <c r="S1024" i="43" s="1"/>
  <c r="K1024" i="43"/>
  <c r="Q1083" i="43"/>
  <c r="S1083" i="43" s="1"/>
  <c r="K1083" i="43"/>
  <c r="R1143" i="43"/>
  <c r="J1140" i="43"/>
  <c r="R1140" i="43" s="1"/>
  <c r="Q1317" i="43"/>
  <c r="S1317" i="43" s="1"/>
  <c r="K1317" i="43"/>
  <c r="S20" i="43"/>
  <c r="Q56" i="43"/>
  <c r="S56" i="43" s="1"/>
  <c r="S57" i="43"/>
  <c r="S60" i="43"/>
  <c r="I124" i="43"/>
  <c r="J135" i="43"/>
  <c r="R135" i="43" s="1"/>
  <c r="K137" i="43"/>
  <c r="O150" i="43"/>
  <c r="I161" i="43"/>
  <c r="Q161" i="43" s="1"/>
  <c r="J182" i="43"/>
  <c r="S215" i="43"/>
  <c r="S237" i="43"/>
  <c r="J240" i="43"/>
  <c r="S241" i="43"/>
  <c r="K243" i="43"/>
  <c r="S245" i="43"/>
  <c r="S251" i="43"/>
  <c r="S254" i="43"/>
  <c r="S259" i="43"/>
  <c r="R261" i="43"/>
  <c r="K266" i="43"/>
  <c r="O269" i="43"/>
  <c r="O272" i="43"/>
  <c r="S281" i="43"/>
  <c r="I320" i="43"/>
  <c r="Q320" i="43" s="1"/>
  <c r="S320" i="43" s="1"/>
  <c r="K321" i="43"/>
  <c r="K326" i="43"/>
  <c r="M332" i="43"/>
  <c r="Q332" i="43" s="1"/>
  <c r="O333" i="43"/>
  <c r="Q351" i="43"/>
  <c r="I348" i="43"/>
  <c r="K356" i="43"/>
  <c r="S358" i="43"/>
  <c r="O360" i="43"/>
  <c r="I368" i="43"/>
  <c r="Q368" i="43" s="1"/>
  <c r="K369" i="43"/>
  <c r="Q372" i="43"/>
  <c r="S372" i="43" s="1"/>
  <c r="K430" i="43"/>
  <c r="S431" i="43"/>
  <c r="Q443" i="43"/>
  <c r="K452" i="43"/>
  <c r="O481" i="43"/>
  <c r="S506" i="43"/>
  <c r="O513" i="43"/>
  <c r="Q513" i="43"/>
  <c r="S513" i="43" s="1"/>
  <c r="O521" i="43"/>
  <c r="O541" i="43"/>
  <c r="Q541" i="43"/>
  <c r="S541" i="43" s="1"/>
  <c r="Q583" i="43"/>
  <c r="S583" i="43" s="1"/>
  <c r="S586" i="43"/>
  <c r="S602" i="43"/>
  <c r="K640" i="43"/>
  <c r="Q640" i="43"/>
  <c r="S640" i="43" s="1"/>
  <c r="R666" i="43"/>
  <c r="J663" i="43"/>
  <c r="Q676" i="43"/>
  <c r="S676" i="43" s="1"/>
  <c r="K676" i="43"/>
  <c r="K685" i="43"/>
  <c r="Q685" i="43"/>
  <c r="S685" i="43" s="1"/>
  <c r="Q716" i="43"/>
  <c r="S716" i="43" s="1"/>
  <c r="K716" i="43"/>
  <c r="O732" i="43"/>
  <c r="R732" i="43"/>
  <c r="J742" i="43"/>
  <c r="R742" i="43" s="1"/>
  <c r="R745" i="43"/>
  <c r="S751" i="43"/>
  <c r="K756" i="43"/>
  <c r="Q808" i="43"/>
  <c r="S808" i="43" s="1"/>
  <c r="K808" i="43"/>
  <c r="Q964" i="43"/>
  <c r="S964" i="43" s="1"/>
  <c r="I963" i="43"/>
  <c r="K964" i="43"/>
  <c r="K1021" i="43"/>
  <c r="Q1021" i="43"/>
  <c r="S1021" i="43" s="1"/>
  <c r="K1256" i="43"/>
  <c r="Q1256" i="43"/>
  <c r="S1256" i="43" s="1"/>
  <c r="Q1419" i="43"/>
  <c r="S1419" i="43" s="1"/>
  <c r="K1419" i="43"/>
  <c r="Q36" i="43"/>
  <c r="S36" i="43" s="1"/>
  <c r="R62" i="43"/>
  <c r="S84" i="43"/>
  <c r="S121" i="43"/>
  <c r="Q514" i="43"/>
  <c r="S514" i="43" s="1"/>
  <c r="S14" i="43"/>
  <c r="Q19" i="43"/>
  <c r="S19" i="43" s="1"/>
  <c r="K87" i="43"/>
  <c r="S153" i="43"/>
  <c r="R193" i="43"/>
  <c r="I222" i="43"/>
  <c r="Q222" i="43" s="1"/>
  <c r="S223" i="43"/>
  <c r="S247" i="43"/>
  <c r="Q269" i="43"/>
  <c r="S269" i="43" s="1"/>
  <c r="R332" i="43"/>
  <c r="K339" i="43"/>
  <c r="J351" i="43"/>
  <c r="K351" i="43" s="1"/>
  <c r="M359" i="43"/>
  <c r="J429" i="43"/>
  <c r="R429" i="43" s="1"/>
  <c r="R443" i="43"/>
  <c r="K451" i="43"/>
  <c r="Q451" i="43"/>
  <c r="S451" i="43" s="1"/>
  <c r="S521" i="43"/>
  <c r="S524" i="43"/>
  <c r="O535" i="43"/>
  <c r="Q535" i="43"/>
  <c r="S535" i="43" s="1"/>
  <c r="I579" i="43"/>
  <c r="Q579" i="43" s="1"/>
  <c r="S579" i="43" s="1"/>
  <c r="K585" i="43"/>
  <c r="Q585" i="43"/>
  <c r="S585" i="43" s="1"/>
  <c r="I609" i="43"/>
  <c r="Q609" i="43" s="1"/>
  <c r="S609" i="43" s="1"/>
  <c r="I627" i="43"/>
  <c r="Q627" i="43" s="1"/>
  <c r="S627" i="43" s="1"/>
  <c r="K629" i="43"/>
  <c r="Q629" i="43"/>
  <c r="S629" i="43" s="1"/>
  <c r="J711" i="43"/>
  <c r="R714" i="43"/>
  <c r="Q773" i="43"/>
  <c r="S773" i="43" s="1"/>
  <c r="K773" i="43"/>
  <c r="I771" i="43"/>
  <c r="I768" i="43" s="1"/>
  <c r="Q786" i="43"/>
  <c r="S786" i="43" s="1"/>
  <c r="K786" i="43"/>
  <c r="J802" i="43"/>
  <c r="R805" i="43"/>
  <c r="Q828" i="43"/>
  <c r="S828" i="43" s="1"/>
  <c r="K828" i="43"/>
  <c r="Q868" i="43"/>
  <c r="S868" i="43" s="1"/>
  <c r="K868" i="43"/>
  <c r="Q876" i="43"/>
  <c r="S876" i="43" s="1"/>
  <c r="K876" i="43"/>
  <c r="K984" i="43"/>
  <c r="Q984" i="43"/>
  <c r="S984" i="43" s="1"/>
  <c r="Q1098" i="43"/>
  <c r="S1098" i="43" s="1"/>
  <c r="I1097" i="43"/>
  <c r="K1097" i="43" s="1"/>
  <c r="Q1113" i="43"/>
  <c r="S1113" i="43" s="1"/>
  <c r="K1113" i="43"/>
  <c r="I1112" i="43"/>
  <c r="Q1112" i="43" s="1"/>
  <c r="Q1305" i="43"/>
  <c r="S1305" i="43" s="1"/>
  <c r="K1305" i="43"/>
  <c r="M1371" i="43"/>
  <c r="O1371" i="43" s="1"/>
  <c r="Q1390" i="43"/>
  <c r="S909" i="43"/>
  <c r="S926" i="43"/>
  <c r="K981" i="43"/>
  <c r="Q981" i="43"/>
  <c r="S981" i="43" s="1"/>
  <c r="Q995" i="43"/>
  <c r="S995" i="43" s="1"/>
  <c r="K995" i="43"/>
  <c r="S999" i="43"/>
  <c r="Q1011" i="43"/>
  <c r="S1011" i="43" s="1"/>
  <c r="K1011" i="43"/>
  <c r="Q1033" i="43"/>
  <c r="S1033" i="43" s="1"/>
  <c r="K1033" i="43"/>
  <c r="S1041" i="43"/>
  <c r="S1053" i="43"/>
  <c r="S1065" i="43"/>
  <c r="Q1070" i="43"/>
  <c r="S1070" i="43" s="1"/>
  <c r="I1069" i="43"/>
  <c r="Q1069" i="43" s="1"/>
  <c r="S1069" i="43" s="1"/>
  <c r="S1093" i="43"/>
  <c r="S1170" i="43"/>
  <c r="Q1179" i="43"/>
  <c r="S1179" i="43" s="1"/>
  <c r="K1179" i="43"/>
  <c r="S1186" i="43"/>
  <c r="K1285" i="43"/>
  <c r="I1283" i="43"/>
  <c r="Q1283" i="43" s="1"/>
  <c r="Q1285" i="43"/>
  <c r="S1285" i="43" s="1"/>
  <c r="S1290" i="43"/>
  <c r="J1310" i="43"/>
  <c r="K1321" i="43"/>
  <c r="Q1321" i="43"/>
  <c r="S1321" i="43" s="1"/>
  <c r="I1320" i="43"/>
  <c r="Q1320" i="43" s="1"/>
  <c r="S1320" i="43" s="1"/>
  <c r="Q1328" i="43"/>
  <c r="I1327" i="43"/>
  <c r="K1547" i="43"/>
  <c r="I1543" i="43"/>
  <c r="Q1543" i="43" s="1"/>
  <c r="Q1547" i="43"/>
  <c r="S1547" i="43" s="1"/>
  <c r="Q1691" i="43"/>
  <c r="M1688" i="43"/>
  <c r="O336" i="43"/>
  <c r="S337" i="43"/>
  <c r="S340" i="43"/>
  <c r="S355" i="43"/>
  <c r="S367" i="43"/>
  <c r="S373" i="43"/>
  <c r="S375" i="43"/>
  <c r="S380" i="43"/>
  <c r="I429" i="43"/>
  <c r="Q429" i="43" s="1"/>
  <c r="S438" i="43"/>
  <c r="S446" i="43"/>
  <c r="S486" i="43"/>
  <c r="S491" i="43"/>
  <c r="S505" i="43"/>
  <c r="S523" i="43"/>
  <c r="S526" i="43"/>
  <c r="S536" i="43"/>
  <c r="S545" i="43"/>
  <c r="S621" i="43"/>
  <c r="S708" i="43"/>
  <c r="S719" i="43"/>
  <c r="S733" i="43"/>
  <c r="S749" i="43"/>
  <c r="O752" i="43"/>
  <c r="S761" i="43"/>
  <c r="S778" i="43"/>
  <c r="S788" i="43"/>
  <c r="I815" i="43"/>
  <c r="Q815" i="43" s="1"/>
  <c r="S815" i="43" s="1"/>
  <c r="K816" i="43"/>
  <c r="Q835" i="43"/>
  <c r="S835" i="43" s="1"/>
  <c r="K838" i="43"/>
  <c r="Q867" i="43"/>
  <c r="S867" i="43" s="1"/>
  <c r="S874" i="43"/>
  <c r="K883" i="43"/>
  <c r="K904" i="43"/>
  <c r="Q919" i="43"/>
  <c r="S919" i="43" s="1"/>
  <c r="K919" i="43"/>
  <c r="S925" i="43"/>
  <c r="S932" i="43"/>
  <c r="S943" i="43"/>
  <c r="S946" i="43"/>
  <c r="Q953" i="43"/>
  <c r="S953" i="43" s="1"/>
  <c r="K953" i="43"/>
  <c r="Q960" i="43"/>
  <c r="S960" i="43" s="1"/>
  <c r="K960" i="43"/>
  <c r="K967" i="43"/>
  <c r="S991" i="43"/>
  <c r="K1040" i="43"/>
  <c r="Q1040" i="43"/>
  <c r="S1040" i="43" s="1"/>
  <c r="Q1075" i="43"/>
  <c r="S1075" i="43" s="1"/>
  <c r="S1088" i="43"/>
  <c r="S1115" i="43"/>
  <c r="S1164" i="43"/>
  <c r="K1183" i="43"/>
  <c r="K1207" i="43"/>
  <c r="K1221" i="43"/>
  <c r="S1222" i="43"/>
  <c r="K1231" i="43"/>
  <c r="S1242" i="43"/>
  <c r="K1274" i="43"/>
  <c r="Q1282" i="43"/>
  <c r="J1289" i="43"/>
  <c r="S1299" i="43"/>
  <c r="M1307" i="43"/>
  <c r="M1289" i="43" s="1"/>
  <c r="Q1308" i="43"/>
  <c r="S1308" i="43" s="1"/>
  <c r="K1328" i="43"/>
  <c r="J1327" i="43"/>
  <c r="R1327" i="43" s="1"/>
  <c r="R1328" i="43"/>
  <c r="S1331" i="43"/>
  <c r="I1372" i="43"/>
  <c r="Q1372" i="43" s="1"/>
  <c r="S1374" i="43"/>
  <c r="S1382" i="43"/>
  <c r="Q1418" i="43"/>
  <c r="S1418" i="43" s="1"/>
  <c r="I1416" i="43"/>
  <c r="K1416" i="43" s="1"/>
  <c r="K1418" i="43"/>
  <c r="Q1451" i="43"/>
  <c r="S1451" i="43" s="1"/>
  <c r="K1451" i="43"/>
  <c r="I1447" i="43"/>
  <c r="K1447" i="43" s="1"/>
  <c r="S691" i="43"/>
  <c r="S741" i="43"/>
  <c r="S753" i="43"/>
  <c r="S816" i="43"/>
  <c r="S883" i="43"/>
  <c r="R901" i="43"/>
  <c r="S901" i="43" s="1"/>
  <c r="N900" i="43"/>
  <c r="S933" i="43"/>
  <c r="Q952" i="43"/>
  <c r="S952" i="43" s="1"/>
  <c r="K952" i="43"/>
  <c r="K959" i="43"/>
  <c r="Q959" i="43"/>
  <c r="S959" i="43" s="1"/>
  <c r="Q1010" i="43"/>
  <c r="S1010" i="43" s="1"/>
  <c r="K1010" i="43"/>
  <c r="Q1018" i="43"/>
  <c r="S1018" i="43" s="1"/>
  <c r="K1018" i="43"/>
  <c r="Q1048" i="43"/>
  <c r="S1048" i="43" s="1"/>
  <c r="K1048" i="43"/>
  <c r="J1051" i="43"/>
  <c r="R1051" i="43" s="1"/>
  <c r="K1054" i="43"/>
  <c r="Q1129" i="43"/>
  <c r="S1129" i="43" s="1"/>
  <c r="K1129" i="43"/>
  <c r="J1194" i="43"/>
  <c r="R1194" i="43" s="1"/>
  <c r="Q1204" i="43"/>
  <c r="S1204" i="43" s="1"/>
  <c r="K1204" i="43"/>
  <c r="Q1231" i="43"/>
  <c r="S1231" i="43" s="1"/>
  <c r="R1252" i="43"/>
  <c r="N1235" i="43"/>
  <c r="K1281" i="43"/>
  <c r="Q1281" i="43"/>
  <c r="S1281" i="43" s="1"/>
  <c r="Q1297" i="43"/>
  <c r="S1297" i="43" s="1"/>
  <c r="K1297" i="43"/>
  <c r="I1300" i="43"/>
  <c r="K1300" i="43" s="1"/>
  <c r="K1303" i="43"/>
  <c r="N1307" i="43"/>
  <c r="N1289" i="43" s="1"/>
  <c r="O1308" i="43"/>
  <c r="S1325" i="43"/>
  <c r="K1344" i="43"/>
  <c r="Q1344" i="43"/>
  <c r="S1344" i="43" s="1"/>
  <c r="Q1415" i="43"/>
  <c r="S1415" i="43" s="1"/>
  <c r="K1415" i="43"/>
  <c r="Q1442" i="43"/>
  <c r="S1442" i="43" s="1"/>
  <c r="M1440" i="43"/>
  <c r="O1440" i="43" s="1"/>
  <c r="O1442" i="43"/>
  <c r="I1627" i="43"/>
  <c r="Q1627" i="43" s="1"/>
  <c r="Q1630" i="43"/>
  <c r="S1460" i="43"/>
  <c r="S1518" i="43"/>
  <c r="Q1522" i="43"/>
  <c r="S1522" i="43" s="1"/>
  <c r="K1522" i="43"/>
  <c r="S1532" i="43"/>
  <c r="Q1539" i="43"/>
  <c r="S1539" i="43" s="1"/>
  <c r="K1539" i="43"/>
  <c r="K1630" i="43"/>
  <c r="R1630" i="43"/>
  <c r="R1666" i="43"/>
  <c r="S1666" i="43" s="1"/>
  <c r="N1663" i="43"/>
  <c r="R1663" i="43" s="1"/>
  <c r="O1666" i="43"/>
  <c r="R1691" i="43"/>
  <c r="O1691" i="43"/>
  <c r="N1688" i="43"/>
  <c r="R1688" i="43" s="1"/>
  <c r="N1722" i="43"/>
  <c r="N1711" i="43" s="1"/>
  <c r="N1710" i="43" s="1"/>
  <c r="R1723" i="43"/>
  <c r="Q1775" i="43"/>
  <c r="S1775" i="43" s="1"/>
  <c r="I1773" i="43"/>
  <c r="K1773" i="43" s="1"/>
  <c r="R1780" i="43"/>
  <c r="R1933" i="43"/>
  <c r="Q1947" i="43"/>
  <c r="I1944" i="43"/>
  <c r="S894" i="43"/>
  <c r="S969" i="43"/>
  <c r="S987" i="43"/>
  <c r="S998" i="43"/>
  <c r="S1057" i="43"/>
  <c r="S1092" i="43"/>
  <c r="S1108" i="43"/>
  <c r="S1110" i="43"/>
  <c r="S1146" i="43"/>
  <c r="S1190" i="43"/>
  <c r="S1199" i="43"/>
  <c r="S1274" i="43"/>
  <c r="S1282" i="43"/>
  <c r="S1291" i="43"/>
  <c r="S1306" i="43"/>
  <c r="R1341" i="43"/>
  <c r="S1341" i="43" s="1"/>
  <c r="K1341" i="43"/>
  <c r="S1370" i="43"/>
  <c r="O1412" i="43"/>
  <c r="M1411" i="43"/>
  <c r="O1411" i="43" s="1"/>
  <c r="S1448" i="43"/>
  <c r="S1478" i="43"/>
  <c r="K1516" i="43"/>
  <c r="S1517" i="43"/>
  <c r="S1531" i="43"/>
  <c r="R1629" i="43"/>
  <c r="S1629" i="43" s="1"/>
  <c r="K1629" i="43"/>
  <c r="M1663" i="43"/>
  <c r="Q1663" i="43" s="1"/>
  <c r="O1665" i="43"/>
  <c r="R1675" i="43"/>
  <c r="K1677" i="43"/>
  <c r="I1675" i="43"/>
  <c r="Q1675" i="43" s="1"/>
  <c r="Q1679" i="43"/>
  <c r="I1678" i="43"/>
  <c r="Q1678" i="43" s="1"/>
  <c r="S1684" i="43"/>
  <c r="S1709" i="43"/>
  <c r="K1775" i="43"/>
  <c r="S1777" i="43"/>
  <c r="Q1814" i="43"/>
  <c r="S1814" i="43" s="1"/>
  <c r="O1814" i="43"/>
  <c r="S1839" i="43"/>
  <c r="S1844" i="43"/>
  <c r="Q1850" i="43"/>
  <c r="I1849" i="43"/>
  <c r="Q1849" i="43" s="1"/>
  <c r="K1850" i="43"/>
  <c r="K1886" i="43"/>
  <c r="Q1942" i="43"/>
  <c r="S1942" i="43" s="1"/>
  <c r="O1942" i="43"/>
  <c r="M1941" i="43"/>
  <c r="Q1941" i="43" s="1"/>
  <c r="S1941" i="43" s="1"/>
  <c r="S818" i="43"/>
  <c r="S838" i="43"/>
  <c r="S870" i="43"/>
  <c r="S914" i="43"/>
  <c r="K929" i="43"/>
  <c r="S934" i="43"/>
  <c r="S950" i="43"/>
  <c r="S958" i="43"/>
  <c r="Q980" i="43"/>
  <c r="S980" i="43" s="1"/>
  <c r="S1014" i="43"/>
  <c r="Q1016" i="43"/>
  <c r="S1016" i="43" s="1"/>
  <c r="K1028" i="43"/>
  <c r="S1052" i="43"/>
  <c r="S1056" i="43"/>
  <c r="Q1063" i="43"/>
  <c r="S1063" i="43" s="1"/>
  <c r="Q1073" i="43"/>
  <c r="S1073" i="43" s="1"/>
  <c r="Q1106" i="43"/>
  <c r="S1106" i="43" s="1"/>
  <c r="S1141" i="43"/>
  <c r="I1143" i="43"/>
  <c r="I1140" i="43" s="1"/>
  <c r="S1158" i="43"/>
  <c r="K1165" i="43"/>
  <c r="K1171" i="43"/>
  <c r="S1172" i="43"/>
  <c r="S1174" i="43"/>
  <c r="S1176" i="43"/>
  <c r="S1189" i="43"/>
  <c r="M1191" i="43"/>
  <c r="Q1191" i="43" s="1"/>
  <c r="Q1201" i="43"/>
  <c r="S1201" i="43" s="1"/>
  <c r="Q1203" i="43"/>
  <c r="S1203" i="43" s="1"/>
  <c r="Q1225" i="43"/>
  <c r="S1225" i="43" s="1"/>
  <c r="J1230" i="43"/>
  <c r="S1241" i="43"/>
  <c r="I1246" i="43"/>
  <c r="Q1246" i="43" s="1"/>
  <c r="S1246" i="43" s="1"/>
  <c r="Q1250" i="43"/>
  <c r="S1250" i="43" s="1"/>
  <c r="Q1263" i="43"/>
  <c r="S1263" i="43" s="1"/>
  <c r="I1276" i="43"/>
  <c r="K1276" i="43" s="1"/>
  <c r="Q1277" i="43"/>
  <c r="S1277" i="43" s="1"/>
  <c r="S1312" i="43"/>
  <c r="S1323" i="43"/>
  <c r="S1336" i="43"/>
  <c r="S1384" i="43"/>
  <c r="S1389" i="43"/>
  <c r="K1394" i="43"/>
  <c r="S1396" i="43"/>
  <c r="S1401" i="43"/>
  <c r="Q1412" i="43"/>
  <c r="S1412" i="43" s="1"/>
  <c r="K1414" i="43"/>
  <c r="S1471" i="43"/>
  <c r="I1515" i="43"/>
  <c r="Q1515" i="43" s="1"/>
  <c r="S1515" i="43" s="1"/>
  <c r="S1530" i="43"/>
  <c r="R1543" i="43"/>
  <c r="K1614" i="43"/>
  <c r="R1614" i="43"/>
  <c r="S1614" i="43" s="1"/>
  <c r="K1640" i="43"/>
  <c r="R1640" i="43"/>
  <c r="S1640" i="43" s="1"/>
  <c r="J1637" i="43"/>
  <c r="R1637" i="43" s="1"/>
  <c r="S1662" i="43"/>
  <c r="Q1677" i="43"/>
  <c r="S1677" i="43" s="1"/>
  <c r="S1818" i="43"/>
  <c r="R1855" i="43"/>
  <c r="J1854" i="43"/>
  <c r="R1854" i="43" s="1"/>
  <c r="Q1862" i="43"/>
  <c r="S1862" i="43" s="1"/>
  <c r="R1896" i="43"/>
  <c r="J1895" i="43"/>
  <c r="R1895" i="43" s="1"/>
  <c r="S1916" i="43"/>
  <c r="J1944" i="43"/>
  <c r="R1947" i="43"/>
  <c r="S1947" i="43" s="1"/>
  <c r="O1428" i="43"/>
  <c r="S1434" i="43"/>
  <c r="S1435" i="43"/>
  <c r="S1456" i="43"/>
  <c r="S1470" i="43"/>
  <c r="S1481" i="43"/>
  <c r="S1484" i="43"/>
  <c r="Q1545" i="43"/>
  <c r="S1545" i="43" s="1"/>
  <c r="K1545" i="43"/>
  <c r="S1616" i="43"/>
  <c r="K1633" i="43"/>
  <c r="R1633" i="43"/>
  <c r="S1633" i="43" s="1"/>
  <c r="S1634" i="43"/>
  <c r="S1646" i="43"/>
  <c r="Q1650" i="43"/>
  <c r="S1650" i="43" s="1"/>
  <c r="M1649" i="43"/>
  <c r="S1651" i="43"/>
  <c r="S1661" i="43"/>
  <c r="S1673" i="43"/>
  <c r="R1683" i="43"/>
  <c r="S1683" i="43" s="1"/>
  <c r="K1683" i="43"/>
  <c r="K1707" i="43"/>
  <c r="Q1707" i="43"/>
  <c r="S1707" i="43" s="1"/>
  <c r="I1705" i="43"/>
  <c r="Q1705" i="43" s="1"/>
  <c r="R1791" i="43"/>
  <c r="S1791" i="43" s="1"/>
  <c r="K1791" i="43"/>
  <c r="S1838" i="43"/>
  <c r="K1897" i="43"/>
  <c r="Q1897" i="43"/>
  <c r="S1897" i="43" s="1"/>
  <c r="N1938" i="43"/>
  <c r="R1939" i="43"/>
  <c r="S1939" i="43" s="1"/>
  <c r="R1955" i="43"/>
  <c r="S1955" i="43" s="1"/>
  <c r="O1955" i="43"/>
  <c r="S1337" i="43"/>
  <c r="S1349" i="43"/>
  <c r="S1352" i="43"/>
  <c r="K1368" i="43"/>
  <c r="S1369" i="43"/>
  <c r="S1377" i="43"/>
  <c r="S1380" i="43"/>
  <c r="S1381" i="43"/>
  <c r="S1387" i="43"/>
  <c r="O1390" i="43"/>
  <c r="S1391" i="43"/>
  <c r="S1403" i="43"/>
  <c r="K1406" i="43"/>
  <c r="S1407" i="43"/>
  <c r="S1414" i="43"/>
  <c r="K1422" i="43"/>
  <c r="S1446" i="43"/>
  <c r="S1449" i="43"/>
  <c r="S1450" i="43"/>
  <c r="S1458" i="43"/>
  <c r="S1469" i="43"/>
  <c r="S1483" i="43"/>
  <c r="M1486" i="43"/>
  <c r="Q1486" i="43" s="1"/>
  <c r="S1486" i="43" s="1"/>
  <c r="S1519" i="43"/>
  <c r="S1525" i="43"/>
  <c r="S1527" i="43"/>
  <c r="S1528" i="43"/>
  <c r="S1533" i="43"/>
  <c r="S1538" i="43"/>
  <c r="S1542" i="43"/>
  <c r="R1618" i="43"/>
  <c r="S1619" i="43"/>
  <c r="R1622" i="43"/>
  <c r="S1622" i="43" s="1"/>
  <c r="S1628" i="43"/>
  <c r="S1645" i="43"/>
  <c r="O1664" i="43"/>
  <c r="Q1680" i="43"/>
  <c r="S1680" i="43" s="1"/>
  <c r="S1690" i="43"/>
  <c r="O1693" i="43"/>
  <c r="Q1808" i="43"/>
  <c r="S1808" i="43" s="1"/>
  <c r="K1808" i="43"/>
  <c r="S1859" i="43"/>
  <c r="S1885" i="43"/>
  <c r="Q1894" i="43"/>
  <c r="S1894" i="43" s="1"/>
  <c r="R1904" i="43"/>
  <c r="S1904" i="43" s="1"/>
  <c r="S1911" i="43"/>
  <c r="K1920" i="43"/>
  <c r="K1937" i="43"/>
  <c r="S1948" i="43"/>
  <c r="N1953" i="43"/>
  <c r="O1954" i="43"/>
  <c r="S1540" i="43"/>
  <c r="S1552" i="43"/>
  <c r="S1553" i="43"/>
  <c r="O1558" i="43"/>
  <c r="S1559" i="43"/>
  <c r="S1615" i="43"/>
  <c r="S1621" i="43"/>
  <c r="S1632" i="43"/>
  <c r="S1644" i="43"/>
  <c r="S1687" i="43"/>
  <c r="S1708" i="43"/>
  <c r="S1798" i="43"/>
  <c r="S1860" i="43"/>
  <c r="S1864" i="43"/>
  <c r="S1867" i="43"/>
  <c r="S1908" i="43"/>
  <c r="M1618" i="43"/>
  <c r="Q1638" i="43"/>
  <c r="S1638" i="43" s="1"/>
  <c r="S1639" i="43"/>
  <c r="S1643" i="43"/>
  <c r="S1659" i="43"/>
  <c r="S1664" i="43"/>
  <c r="K1679" i="43"/>
  <c r="O1689" i="43"/>
  <c r="Q1716" i="43"/>
  <c r="S1716" i="43" s="1"/>
  <c r="S1774" i="43"/>
  <c r="I1781" i="43"/>
  <c r="I1780" i="43" s="1"/>
  <c r="Q1780" i="43" s="1"/>
  <c r="K1782" i="43"/>
  <c r="S1792" i="43"/>
  <c r="S1841" i="43"/>
  <c r="J1863" i="43"/>
  <c r="J1857" i="43" s="1"/>
  <c r="Q1869" i="43"/>
  <c r="S1869" i="43" s="1"/>
  <c r="S1886" i="43"/>
  <c r="S1902" i="43"/>
  <c r="S1907" i="43"/>
  <c r="Q1935" i="43"/>
  <c r="S1935" i="43" s="1"/>
  <c r="S1951" i="43"/>
  <c r="J1932" i="43"/>
  <c r="O1939" i="43"/>
  <c r="K1947" i="43"/>
  <c r="I1785" i="43"/>
  <c r="K1785" i="43" s="1"/>
  <c r="K1789" i="43"/>
  <c r="S1793" i="43"/>
  <c r="S1797" i="43"/>
  <c r="J1803" i="43"/>
  <c r="S1810" i="43"/>
  <c r="K1828" i="43"/>
  <c r="K1830" i="43"/>
  <c r="K1832" i="43"/>
  <c r="R1840" i="43"/>
  <c r="J1837" i="43"/>
  <c r="S1842" i="43"/>
  <c r="R1874" i="43"/>
  <c r="N1863" i="43"/>
  <c r="R1893" i="43"/>
  <c r="J1892" i="43"/>
  <c r="R1770" i="43"/>
  <c r="Q1778" i="43"/>
  <c r="S1778" i="43" s="1"/>
  <c r="J1779" i="43"/>
  <c r="J1784" i="43"/>
  <c r="M1812" i="43"/>
  <c r="O1813" i="43"/>
  <c r="N1812" i="43"/>
  <c r="J1815" i="43"/>
  <c r="Q1832" i="43"/>
  <c r="S1832" i="43" s="1"/>
  <c r="S1833" i="43"/>
  <c r="R1877" i="43"/>
  <c r="I1910" i="43"/>
  <c r="K1910" i="43" s="1"/>
  <c r="Q1809" i="43"/>
  <c r="S1809" i="43" s="1"/>
  <c r="I1806" i="43"/>
  <c r="K1809" i="43"/>
  <c r="Q1823" i="43"/>
  <c r="S1823" i="43" s="1"/>
  <c r="I1819" i="43"/>
  <c r="I1827" i="43"/>
  <c r="K1827" i="43" s="1"/>
  <c r="Q1876" i="43"/>
  <c r="S1876" i="43" s="1"/>
  <c r="O1876" i="43"/>
  <c r="M1875" i="43"/>
  <c r="Q1851" i="43"/>
  <c r="S1851" i="43" s="1"/>
  <c r="K1851" i="43"/>
  <c r="Q1853" i="43"/>
  <c r="S1853" i="43" s="1"/>
  <c r="K1853" i="43"/>
  <c r="Q1856" i="43"/>
  <c r="S1856" i="43" s="1"/>
  <c r="K1856" i="43"/>
  <c r="I1855" i="43"/>
  <c r="Q1858" i="43"/>
  <c r="S1858" i="43" s="1"/>
  <c r="K1858" i="43"/>
  <c r="S1865" i="43"/>
  <c r="Q1871" i="43"/>
  <c r="S1871" i="43" s="1"/>
  <c r="K1871" i="43"/>
  <c r="Q1873" i="43"/>
  <c r="S1873" i="43" s="1"/>
  <c r="K1873" i="43"/>
  <c r="S1881" i="43"/>
  <c r="S1915" i="43"/>
  <c r="Q1919" i="43"/>
  <c r="S1919" i="43" s="1"/>
  <c r="K1919" i="43"/>
  <c r="R1849" i="43"/>
  <c r="K1859" i="43"/>
  <c r="I1866" i="43"/>
  <c r="K1868" i="43"/>
  <c r="Q1887" i="43"/>
  <c r="S1887" i="43" s="1"/>
  <c r="K1887" i="43"/>
  <c r="I1883" i="43"/>
  <c r="M1889" i="43"/>
  <c r="O1890" i="43"/>
  <c r="N1889" i="43"/>
  <c r="I1901" i="43"/>
  <c r="K1904" i="43"/>
  <c r="J1909" i="43"/>
  <c r="R1913" i="43"/>
  <c r="S1914" i="43"/>
  <c r="J1831" i="43"/>
  <c r="J1826" i="43" s="1"/>
  <c r="S1847" i="43"/>
  <c r="S1850" i="43"/>
  <c r="R1890" i="43"/>
  <c r="S1890" i="43" s="1"/>
  <c r="S1891" i="43"/>
  <c r="J1900" i="43"/>
  <c r="S1903" i="43"/>
  <c r="S1905" i="43"/>
  <c r="S1912" i="43"/>
  <c r="S1920" i="43"/>
  <c r="I1861" i="43"/>
  <c r="Q1861" i="43" s="1"/>
  <c r="S1861" i="43" s="1"/>
  <c r="I1893" i="43"/>
  <c r="K1893" i="43" s="1"/>
  <c r="I1896" i="43"/>
  <c r="S1620" i="43"/>
  <c r="Q1667" i="43"/>
  <c r="S1667" i="43" s="1"/>
  <c r="O1667" i="43"/>
  <c r="R1686" i="43"/>
  <c r="S1686" i="43" s="1"/>
  <c r="K1686" i="43"/>
  <c r="K1626" i="43"/>
  <c r="K1631" i="43"/>
  <c r="K1641" i="43"/>
  <c r="S1689" i="43"/>
  <c r="S1693" i="43"/>
  <c r="Q1696" i="43"/>
  <c r="Q1701" i="43"/>
  <c r="S1701" i="43" s="1"/>
  <c r="I1700" i="43"/>
  <c r="R1658" i="43"/>
  <c r="S1658" i="43" s="1"/>
  <c r="O1658" i="43"/>
  <c r="O1620" i="43"/>
  <c r="Q1669" i="43"/>
  <c r="K1669" i="43"/>
  <c r="I1668" i="43"/>
  <c r="K1701" i="43"/>
  <c r="Q1713" i="43"/>
  <c r="S1713" i="43" s="1"/>
  <c r="K1713" i="43"/>
  <c r="S1720" i="43"/>
  <c r="N1617" i="43"/>
  <c r="J1627" i="43"/>
  <c r="I1637" i="43"/>
  <c r="Q1637" i="43" s="1"/>
  <c r="N1649" i="43"/>
  <c r="O1650" i="43"/>
  <c r="R1655" i="43"/>
  <c r="S1655" i="43" s="1"/>
  <c r="J1654" i="43"/>
  <c r="K1655" i="43"/>
  <c r="R1672" i="43"/>
  <c r="S1672" i="43" s="1"/>
  <c r="O1672" i="43"/>
  <c r="N1671" i="43"/>
  <c r="R1696" i="43"/>
  <c r="Q1717" i="43"/>
  <c r="S1717" i="43" s="1"/>
  <c r="I1714" i="43"/>
  <c r="K1717" i="43"/>
  <c r="I1654" i="43"/>
  <c r="Q1665" i="43"/>
  <c r="S1665" i="43" s="1"/>
  <c r="Q1697" i="43"/>
  <c r="J1711" i="43"/>
  <c r="R1725" i="43"/>
  <c r="S1725" i="43" s="1"/>
  <c r="K1720" i="43"/>
  <c r="J1699" i="43"/>
  <c r="K1527" i="43"/>
  <c r="I1537" i="43"/>
  <c r="K1538" i="43"/>
  <c r="K1540" i="43"/>
  <c r="K1542" i="43"/>
  <c r="N1548" i="43"/>
  <c r="M1551" i="43"/>
  <c r="O1551" i="43" s="1"/>
  <c r="R1551" i="43"/>
  <c r="O1552" i="43"/>
  <c r="Q1555" i="43"/>
  <c r="R1558" i="43"/>
  <c r="N1557" i="43"/>
  <c r="R1371" i="43"/>
  <c r="S1406" i="43"/>
  <c r="R1368" i="43"/>
  <c r="K1378" i="43"/>
  <c r="I1398" i="43"/>
  <c r="K1399" i="43"/>
  <c r="O1404" i="43"/>
  <c r="N1408" i="43"/>
  <c r="S1420" i="43"/>
  <c r="S1421" i="43"/>
  <c r="S1422" i="43"/>
  <c r="Q1429" i="43"/>
  <c r="S1429" i="43" s="1"/>
  <c r="O1429" i="43"/>
  <c r="M1427" i="43"/>
  <c r="Q1427" i="43" s="1"/>
  <c r="Q1459" i="43"/>
  <c r="S1459" i="43" s="1"/>
  <c r="O1459" i="43"/>
  <c r="M1455" i="43"/>
  <c r="S1473" i="43"/>
  <c r="S1477" i="43"/>
  <c r="Q1479" i="43"/>
  <c r="S1479" i="43" s="1"/>
  <c r="I1475" i="43"/>
  <c r="M1397" i="43"/>
  <c r="I1430" i="43"/>
  <c r="R1436" i="43"/>
  <c r="K1436" i="43"/>
  <c r="J1433" i="43"/>
  <c r="K1479" i="43"/>
  <c r="S1480" i="43"/>
  <c r="O1486" i="43"/>
  <c r="R1447" i="43"/>
  <c r="J1444" i="43"/>
  <c r="J1367" i="43"/>
  <c r="R1416" i="43"/>
  <c r="J1413" i="43"/>
  <c r="R1468" i="43"/>
  <c r="S1468" i="43" s="1"/>
  <c r="O1468" i="43"/>
  <c r="Q1425" i="43"/>
  <c r="S1425" i="43" s="1"/>
  <c r="R1428" i="43"/>
  <c r="S1428" i="43" s="1"/>
  <c r="R1432" i="43"/>
  <c r="S1432" i="43" s="1"/>
  <c r="R1440" i="43"/>
  <c r="R1455" i="43"/>
  <c r="R1465" i="43"/>
  <c r="S1465" i="43" s="1"/>
  <c r="R1475" i="43"/>
  <c r="K1477" i="43"/>
  <c r="K1482" i="43"/>
  <c r="N1485" i="43"/>
  <c r="N1427" i="43"/>
  <c r="N1439" i="43"/>
  <c r="M1461" i="43"/>
  <c r="Q1461" i="43" s="1"/>
  <c r="Q617" i="43"/>
  <c r="S617" i="43" s="1"/>
  <c r="K617" i="43"/>
  <c r="O634" i="43"/>
  <c r="N633" i="43"/>
  <c r="Q667" i="43"/>
  <c r="S667" i="43" s="1"/>
  <c r="K667" i="43"/>
  <c r="I666" i="43"/>
  <c r="J675" i="43"/>
  <c r="R707" i="43"/>
  <c r="S707" i="43" s="1"/>
  <c r="O707" i="43"/>
  <c r="N706" i="43"/>
  <c r="Q783" i="43"/>
  <c r="S783" i="43" s="1"/>
  <c r="I782" i="43"/>
  <c r="K783" i="43"/>
  <c r="Q594" i="43"/>
  <c r="S594" i="43" s="1"/>
  <c r="K594" i="43"/>
  <c r="Q623" i="43"/>
  <c r="S623" i="43" s="1"/>
  <c r="K623" i="43"/>
  <c r="Q669" i="43"/>
  <c r="S669" i="43" s="1"/>
  <c r="K669" i="43"/>
  <c r="Q682" i="43"/>
  <c r="S682" i="43" s="1"/>
  <c r="K682" i="43"/>
  <c r="Q730" i="43"/>
  <c r="S730" i="43" s="1"/>
  <c r="K730" i="43"/>
  <c r="K780" i="43"/>
  <c r="Q780" i="43"/>
  <c r="S780" i="43" s="1"/>
  <c r="O673" i="43"/>
  <c r="S688" i="43"/>
  <c r="S739" i="43"/>
  <c r="K832" i="43"/>
  <c r="Q832" i="43"/>
  <c r="S832" i="43" s="1"/>
  <c r="S593" i="43"/>
  <c r="K610" i="43"/>
  <c r="S626" i="43"/>
  <c r="S632" i="43"/>
  <c r="K641" i="43"/>
  <c r="K643" i="43"/>
  <c r="K647" i="43"/>
  <c r="S674" i="43"/>
  <c r="S681" i="43"/>
  <c r="O695" i="43"/>
  <c r="S696" i="43"/>
  <c r="Q699" i="43"/>
  <c r="S699" i="43" s="1"/>
  <c r="K699" i="43"/>
  <c r="R709" i="43"/>
  <c r="Q713" i="43"/>
  <c r="S713" i="43" s="1"/>
  <c r="K713" i="43"/>
  <c r="S715" i="43"/>
  <c r="Q728" i="43"/>
  <c r="S728" i="43" s="1"/>
  <c r="K728" i="43"/>
  <c r="Q747" i="43"/>
  <c r="S747" i="43" s="1"/>
  <c r="K747" i="43"/>
  <c r="I745" i="43"/>
  <c r="K745" i="43" s="1"/>
  <c r="Q781" i="43"/>
  <c r="S781" i="43" s="1"/>
  <c r="K781" i="43"/>
  <c r="Q791" i="43"/>
  <c r="S791" i="43" s="1"/>
  <c r="K791" i="43"/>
  <c r="K907" i="43"/>
  <c r="Q907" i="43"/>
  <c r="S907" i="43" s="1"/>
  <c r="Q592" i="43"/>
  <c r="S592" i="43" s="1"/>
  <c r="K592" i="43"/>
  <c r="I591" i="43"/>
  <c r="Q625" i="43"/>
  <c r="S625" i="43" s="1"/>
  <c r="K625" i="43"/>
  <c r="Q680" i="43"/>
  <c r="S680" i="43" s="1"/>
  <c r="K680" i="43"/>
  <c r="Q721" i="43"/>
  <c r="S721" i="43" s="1"/>
  <c r="I757" i="43"/>
  <c r="Q758" i="43"/>
  <c r="S758" i="43" s="1"/>
  <c r="K758" i="43"/>
  <c r="Q896" i="43"/>
  <c r="S896" i="43" s="1"/>
  <c r="K896" i="43"/>
  <c r="I905" i="43"/>
  <c r="K906" i="43"/>
  <c r="Q906" i="43"/>
  <c r="S906" i="43" s="1"/>
  <c r="K915" i="43"/>
  <c r="Q915" i="43"/>
  <c r="S915" i="43" s="1"/>
  <c r="J576" i="43"/>
  <c r="S595" i="43"/>
  <c r="Q607" i="43"/>
  <c r="S607" i="43" s="1"/>
  <c r="K607" i="43"/>
  <c r="Q613" i="43"/>
  <c r="S613" i="43" s="1"/>
  <c r="K613" i="43"/>
  <c r="K628" i="43"/>
  <c r="K630" i="43"/>
  <c r="R634" i="43"/>
  <c r="S635" i="43"/>
  <c r="S650" i="43"/>
  <c r="S660" i="43"/>
  <c r="R678" i="43"/>
  <c r="S683" i="43"/>
  <c r="K686" i="43"/>
  <c r="Q686" i="43"/>
  <c r="S686" i="43" s="1"/>
  <c r="Q695" i="43"/>
  <c r="S695" i="43" s="1"/>
  <c r="M694" i="43"/>
  <c r="S704" i="43"/>
  <c r="O721" i="43"/>
  <c r="R726" i="43"/>
  <c r="J723" i="43"/>
  <c r="Q787" i="43"/>
  <c r="S787" i="43" s="1"/>
  <c r="K787" i="43"/>
  <c r="K890" i="43"/>
  <c r="I889" i="43"/>
  <c r="Q890" i="43"/>
  <c r="S890" i="43" s="1"/>
  <c r="K993" i="43"/>
  <c r="Q993" i="43"/>
  <c r="S993" i="43" s="1"/>
  <c r="K580" i="43"/>
  <c r="K582" i="43"/>
  <c r="K584" i="43"/>
  <c r="K586" i="43"/>
  <c r="S614" i="43"/>
  <c r="S622" i="43"/>
  <c r="S578" i="43"/>
  <c r="K590" i="43"/>
  <c r="K596" i="43"/>
  <c r="O600" i="43"/>
  <c r="S604" i="43"/>
  <c r="S612" i="43"/>
  <c r="K620" i="43"/>
  <c r="J636" i="43"/>
  <c r="Q638" i="43"/>
  <c r="S638" i="43" s="1"/>
  <c r="K638" i="43"/>
  <c r="Q649" i="43"/>
  <c r="S649" i="43" s="1"/>
  <c r="K649" i="43"/>
  <c r="I648" i="43"/>
  <c r="I645" i="43" s="1"/>
  <c r="Q645" i="43" s="1"/>
  <c r="S645" i="43" s="1"/>
  <c r="Q651" i="43"/>
  <c r="S651" i="43" s="1"/>
  <c r="K651" i="43"/>
  <c r="Q655" i="43"/>
  <c r="S655" i="43" s="1"/>
  <c r="K655" i="43"/>
  <c r="Q661" i="43"/>
  <c r="S661" i="43" s="1"/>
  <c r="K661" i="43"/>
  <c r="K665" i="43"/>
  <c r="S673" i="43"/>
  <c r="R672" i="43"/>
  <c r="S672" i="43" s="1"/>
  <c r="I678" i="43"/>
  <c r="K678" i="43" s="1"/>
  <c r="J754" i="43"/>
  <c r="R757" i="43"/>
  <c r="K831" i="43"/>
  <c r="I830" i="43"/>
  <c r="K830" i="43" s="1"/>
  <c r="Q831" i="43"/>
  <c r="S831" i="43" s="1"/>
  <c r="K833" i="43"/>
  <c r="Q833" i="43"/>
  <c r="S833" i="43" s="1"/>
  <c r="K893" i="43"/>
  <c r="Q893" i="43"/>
  <c r="S893" i="43" s="1"/>
  <c r="R1009" i="43"/>
  <c r="S740" i="43"/>
  <c r="S752" i="43"/>
  <c r="S756" i="43"/>
  <c r="K793" i="43"/>
  <c r="I792" i="43"/>
  <c r="Q792" i="43" s="1"/>
  <c r="S792" i="43" s="1"/>
  <c r="R826" i="43"/>
  <c r="S826" i="43" s="1"/>
  <c r="O826" i="43"/>
  <c r="N825" i="43"/>
  <c r="J827" i="43"/>
  <c r="R830" i="43"/>
  <c r="K840" i="43"/>
  <c r="I839" i="43"/>
  <c r="Q839" i="43" s="1"/>
  <c r="K851" i="43"/>
  <c r="I850" i="43"/>
  <c r="K850" i="43" s="1"/>
  <c r="K862" i="43"/>
  <c r="I861" i="43"/>
  <c r="Q861" i="43" s="1"/>
  <c r="M871" i="43"/>
  <c r="Q920" i="43"/>
  <c r="S920" i="43" s="1"/>
  <c r="K920" i="43"/>
  <c r="R930" i="43"/>
  <c r="J927" i="43"/>
  <c r="K955" i="43"/>
  <c r="I954" i="43"/>
  <c r="K954" i="43" s="1"/>
  <c r="K956" i="43"/>
  <c r="Q956" i="43"/>
  <c r="S956" i="43" s="1"/>
  <c r="J972" i="43"/>
  <c r="K979" i="43"/>
  <c r="Q979" i="43"/>
  <c r="S979" i="43" s="1"/>
  <c r="Q986" i="43"/>
  <c r="S986" i="43" s="1"/>
  <c r="K986" i="43"/>
  <c r="I985" i="43"/>
  <c r="Q1003" i="43"/>
  <c r="S1003" i="43" s="1"/>
  <c r="K1003" i="43"/>
  <c r="R1012" i="43"/>
  <c r="I687" i="43"/>
  <c r="I684" i="43" s="1"/>
  <c r="K688" i="43"/>
  <c r="K690" i="43"/>
  <c r="N694" i="43"/>
  <c r="I700" i="43"/>
  <c r="K704" i="43"/>
  <c r="I714" i="43"/>
  <c r="I711" i="43" s="1"/>
  <c r="K715" i="43"/>
  <c r="N720" i="43"/>
  <c r="K725" i="43"/>
  <c r="K735" i="43"/>
  <c r="M742" i="43"/>
  <c r="O742" i="43" s="1"/>
  <c r="Q744" i="43"/>
  <c r="S744" i="43" s="1"/>
  <c r="S746" i="43"/>
  <c r="K755" i="43"/>
  <c r="K770" i="43"/>
  <c r="Q793" i="43"/>
  <c r="S793" i="43" s="1"/>
  <c r="Q794" i="43"/>
  <c r="S794" i="43" s="1"/>
  <c r="Q795" i="43"/>
  <c r="S795" i="43" s="1"/>
  <c r="Q796" i="43"/>
  <c r="S796" i="43" s="1"/>
  <c r="Q797" i="43"/>
  <c r="S797" i="43" s="1"/>
  <c r="Q798" i="43"/>
  <c r="S798" i="43" s="1"/>
  <c r="Q799" i="43"/>
  <c r="S799" i="43" s="1"/>
  <c r="I805" i="43"/>
  <c r="S807" i="43"/>
  <c r="Q810" i="43"/>
  <c r="S810" i="43" s="1"/>
  <c r="Q811" i="43"/>
  <c r="S811" i="43" s="1"/>
  <c r="Q812" i="43"/>
  <c r="S812" i="43" s="1"/>
  <c r="Q813" i="43"/>
  <c r="S813" i="43" s="1"/>
  <c r="Q814" i="43"/>
  <c r="S814" i="43" s="1"/>
  <c r="S819" i="43"/>
  <c r="R839" i="43"/>
  <c r="Q840" i="43"/>
  <c r="S840" i="43" s="1"/>
  <c r="Q841" i="43"/>
  <c r="S841" i="43" s="1"/>
  <c r="Q842" i="43"/>
  <c r="S842" i="43" s="1"/>
  <c r="Q843" i="43"/>
  <c r="S843" i="43" s="1"/>
  <c r="Q844" i="43"/>
  <c r="S844" i="43" s="1"/>
  <c r="Q845" i="43"/>
  <c r="S845" i="43" s="1"/>
  <c r="R850" i="43"/>
  <c r="Q851" i="43"/>
  <c r="S851" i="43" s="1"/>
  <c r="Q852" i="43"/>
  <c r="S852" i="43" s="1"/>
  <c r="Q853" i="43"/>
  <c r="S853" i="43" s="1"/>
  <c r="Q854" i="43"/>
  <c r="S854" i="43" s="1"/>
  <c r="Q855" i="43"/>
  <c r="S855" i="43" s="1"/>
  <c r="R861" i="43"/>
  <c r="Q862" i="43"/>
  <c r="S862" i="43" s="1"/>
  <c r="Q863" i="43"/>
  <c r="S863" i="43" s="1"/>
  <c r="Q864" i="43"/>
  <c r="S864" i="43" s="1"/>
  <c r="Q865" i="43"/>
  <c r="S865" i="43" s="1"/>
  <c r="R873" i="43"/>
  <c r="S873" i="43" s="1"/>
  <c r="O873" i="43"/>
  <c r="N872" i="43"/>
  <c r="K879" i="43"/>
  <c r="I878" i="43"/>
  <c r="Q878" i="43" s="1"/>
  <c r="Q888" i="43"/>
  <c r="S888" i="43" s="1"/>
  <c r="K888" i="43"/>
  <c r="K892" i="43"/>
  <c r="Q892" i="43"/>
  <c r="S892" i="43" s="1"/>
  <c r="K905" i="43"/>
  <c r="J902" i="43"/>
  <c r="I917" i="43"/>
  <c r="Q918" i="43"/>
  <c r="S918" i="43" s="1"/>
  <c r="K918" i="43"/>
  <c r="R941" i="43"/>
  <c r="Q955" i="43"/>
  <c r="S955" i="43" s="1"/>
  <c r="R973" i="43"/>
  <c r="Q978" i="43"/>
  <c r="S978" i="43" s="1"/>
  <c r="K1008" i="43"/>
  <c r="Q1008" i="43"/>
  <c r="S1008" i="43" s="1"/>
  <c r="N599" i="43"/>
  <c r="J606" i="43"/>
  <c r="I618" i="43"/>
  <c r="I639" i="43"/>
  <c r="J654" i="43"/>
  <c r="N672" i="43"/>
  <c r="M709" i="43"/>
  <c r="I726" i="43"/>
  <c r="K726" i="43" s="1"/>
  <c r="N731" i="43"/>
  <c r="Q735" i="43"/>
  <c r="S735" i="43" s="1"/>
  <c r="K749" i="43"/>
  <c r="Q759" i="43"/>
  <c r="S759" i="43" s="1"/>
  <c r="S766" i="43"/>
  <c r="S776" i="43"/>
  <c r="J779" i="43"/>
  <c r="K785" i="43"/>
  <c r="K789" i="43"/>
  <c r="Q803" i="43"/>
  <c r="S803" i="43" s="1"/>
  <c r="Q804" i="43"/>
  <c r="S804" i="43" s="1"/>
  <c r="S821" i="43"/>
  <c r="K878" i="43"/>
  <c r="R878" i="43"/>
  <c r="Q879" i="43"/>
  <c r="S879" i="43" s="1"/>
  <c r="Q880" i="43"/>
  <c r="S880" i="43" s="1"/>
  <c r="Q881" i="43"/>
  <c r="S881" i="43" s="1"/>
  <c r="Q886" i="43"/>
  <c r="S886" i="43" s="1"/>
  <c r="K886" i="43"/>
  <c r="Q891" i="43"/>
  <c r="S891" i="43" s="1"/>
  <c r="R905" i="43"/>
  <c r="Q908" i="43"/>
  <c r="S908" i="43" s="1"/>
  <c r="Q916" i="43"/>
  <c r="S916" i="43" s="1"/>
  <c r="I930" i="43"/>
  <c r="K933" i="43"/>
  <c r="K942" i="43"/>
  <c r="I941" i="43"/>
  <c r="Q941" i="43" s="1"/>
  <c r="Q945" i="43"/>
  <c r="S945" i="43" s="1"/>
  <c r="K945" i="43"/>
  <c r="J951" i="43"/>
  <c r="K974" i="43"/>
  <c r="I973" i="43"/>
  <c r="K975" i="43"/>
  <c r="Q975" i="43"/>
  <c r="S975" i="43" s="1"/>
  <c r="Q1034" i="43"/>
  <c r="S1034" i="43" s="1"/>
  <c r="K1034" i="43"/>
  <c r="I1029" i="43"/>
  <c r="I1026" i="43" s="1"/>
  <c r="Q1026" i="43" s="1"/>
  <c r="Q1240" i="43"/>
  <c r="S1240" i="43" s="1"/>
  <c r="K1240" i="43"/>
  <c r="I1238" i="43"/>
  <c r="Q1238" i="43" s="1"/>
  <c r="Q1264" i="43"/>
  <c r="S1264" i="43" s="1"/>
  <c r="K1264" i="43"/>
  <c r="S898" i="43"/>
  <c r="S904" i="43"/>
  <c r="S938" i="43"/>
  <c r="S967" i="43"/>
  <c r="S990" i="43"/>
  <c r="K1002" i="43"/>
  <c r="Q1002" i="43"/>
  <c r="S1002" i="43" s="1"/>
  <c r="Q1198" i="43"/>
  <c r="S1198" i="43" s="1"/>
  <c r="K1198" i="43"/>
  <c r="I1197" i="43"/>
  <c r="S949" i="43"/>
  <c r="Q1005" i="43"/>
  <c r="S1005" i="43" s="1"/>
  <c r="I1004" i="43"/>
  <c r="I1001" i="43" s="1"/>
  <c r="Q1001" i="43" s="1"/>
  <c r="K1005" i="43"/>
  <c r="Q1023" i="43"/>
  <c r="S1023" i="43" s="1"/>
  <c r="K1023" i="43"/>
  <c r="Q1025" i="43"/>
  <c r="S1025" i="43" s="1"/>
  <c r="K1025" i="43"/>
  <c r="S1035" i="43"/>
  <c r="Q1067" i="43"/>
  <c r="S1067" i="43" s="1"/>
  <c r="K1067" i="43"/>
  <c r="S1095" i="43"/>
  <c r="S1111" i="43"/>
  <c r="Q1139" i="43"/>
  <c r="S1139" i="43" s="1"/>
  <c r="K1139" i="43"/>
  <c r="Q1180" i="43"/>
  <c r="S1180" i="43" s="1"/>
  <c r="K1180" i="43"/>
  <c r="I1178" i="43"/>
  <c r="K1178" i="43" s="1"/>
  <c r="S1181" i="43"/>
  <c r="Q1184" i="43"/>
  <c r="S1184" i="43" s="1"/>
  <c r="Q1206" i="43"/>
  <c r="S1206" i="43" s="1"/>
  <c r="K1206" i="43"/>
  <c r="I1205" i="43"/>
  <c r="Q1210" i="43"/>
  <c r="S1210" i="43" s="1"/>
  <c r="K1210" i="43"/>
  <c r="R1330" i="43"/>
  <c r="S1330" i="43" s="1"/>
  <c r="K1330" i="43"/>
  <c r="K997" i="43"/>
  <c r="J994" i="43"/>
  <c r="I1012" i="43"/>
  <c r="Q1015" i="43"/>
  <c r="S1015" i="43" s="1"/>
  <c r="K1041" i="43"/>
  <c r="J1043" i="43"/>
  <c r="Q1045" i="43"/>
  <c r="S1045" i="43" s="1"/>
  <c r="K1045" i="43"/>
  <c r="Q1049" i="43"/>
  <c r="S1049" i="43" s="1"/>
  <c r="I1046" i="43"/>
  <c r="K1046" i="43" s="1"/>
  <c r="K1049" i="43"/>
  <c r="I1051" i="43"/>
  <c r="Q1051" i="43" s="1"/>
  <c r="K1058" i="43"/>
  <c r="R1062" i="43"/>
  <c r="J1059" i="43"/>
  <c r="K1070" i="43"/>
  <c r="K1072" i="43"/>
  <c r="K1074" i="43"/>
  <c r="K1076" i="43"/>
  <c r="K1082" i="43"/>
  <c r="K1090" i="43"/>
  <c r="I1089" i="43"/>
  <c r="K1091" i="43"/>
  <c r="R1128" i="43"/>
  <c r="K1168" i="43"/>
  <c r="R1168" i="43"/>
  <c r="S1168" i="43" s="1"/>
  <c r="K1184" i="43"/>
  <c r="K1215" i="43"/>
  <c r="J1212" i="43"/>
  <c r="R1215" i="43"/>
  <c r="Q1220" i="43"/>
  <c r="S1220" i="43" s="1"/>
  <c r="K1220" i="43"/>
  <c r="S1226" i="43"/>
  <c r="J1235" i="43"/>
  <c r="S1302" i="43"/>
  <c r="R1307" i="43"/>
  <c r="S996" i="43"/>
  <c r="K1015" i="43"/>
  <c r="J1017" i="43"/>
  <c r="Q1019" i="43"/>
  <c r="S1019" i="43" s="1"/>
  <c r="K1019" i="43"/>
  <c r="S1022" i="43"/>
  <c r="J1036" i="43"/>
  <c r="Q1038" i="43"/>
  <c r="S1038" i="43" s="1"/>
  <c r="K1038" i="43"/>
  <c r="S1054" i="43"/>
  <c r="S1064" i="43"/>
  <c r="J1078" i="43"/>
  <c r="S1082" i="43"/>
  <c r="Q1090" i="43"/>
  <c r="S1090" i="43" s="1"/>
  <c r="Q1130" i="43"/>
  <c r="S1130" i="43" s="1"/>
  <c r="K1130" i="43"/>
  <c r="I1128" i="43"/>
  <c r="K1128" i="43" s="1"/>
  <c r="S1131" i="43"/>
  <c r="Q1137" i="43"/>
  <c r="S1137" i="43" s="1"/>
  <c r="K1137" i="43"/>
  <c r="I1136" i="43"/>
  <c r="S1142" i="43"/>
  <c r="S1144" i="43"/>
  <c r="S1187" i="43"/>
  <c r="Q1208" i="43"/>
  <c r="S1208" i="43" s="1"/>
  <c r="K1208" i="43"/>
  <c r="K1213" i="43"/>
  <c r="R1238" i="43"/>
  <c r="K1266" i="43"/>
  <c r="S1127" i="43"/>
  <c r="Q1152" i="43"/>
  <c r="S1152" i="43" s="1"/>
  <c r="K1152" i="43"/>
  <c r="I1151" i="43"/>
  <c r="S1165" i="43"/>
  <c r="Q1166" i="43"/>
  <c r="S1166" i="43" s="1"/>
  <c r="K1166" i="43"/>
  <c r="S1169" i="43"/>
  <c r="S1171" i="43"/>
  <c r="S1177" i="43"/>
  <c r="Q1188" i="43"/>
  <c r="S1188" i="43" s="1"/>
  <c r="I1185" i="43"/>
  <c r="I1182" i="43" s="1"/>
  <c r="K1182" i="43" s="1"/>
  <c r="S1207" i="43"/>
  <c r="S1216" i="43"/>
  <c r="S1239" i="43"/>
  <c r="Q1244" i="43"/>
  <c r="S1244" i="43" s="1"/>
  <c r="K1244" i="43"/>
  <c r="Q1257" i="43"/>
  <c r="S1257" i="43" s="1"/>
  <c r="K1257" i="43"/>
  <c r="I1335" i="43"/>
  <c r="Q1335" i="43" s="1"/>
  <c r="Q1338" i="43"/>
  <c r="S1338" i="43" s="1"/>
  <c r="I1020" i="43"/>
  <c r="K1020" i="43" s="1"/>
  <c r="I1039" i="43"/>
  <c r="I1062" i="43"/>
  <c r="J1066" i="43"/>
  <c r="I1079" i="43"/>
  <c r="K1080" i="43"/>
  <c r="K1084" i="43"/>
  <c r="R1089" i="43"/>
  <c r="J1086" i="43"/>
  <c r="K1098" i="43"/>
  <c r="R1105" i="43"/>
  <c r="J1102" i="43"/>
  <c r="K1107" i="43"/>
  <c r="Q1114" i="43"/>
  <c r="S1114" i="43" s="1"/>
  <c r="K1114" i="43"/>
  <c r="S1116" i="43"/>
  <c r="S1118" i="43"/>
  <c r="Q1121" i="43"/>
  <c r="S1121" i="43" s="1"/>
  <c r="K1121" i="43"/>
  <c r="I1120" i="43"/>
  <c r="Q1145" i="43"/>
  <c r="S1145" i="43" s="1"/>
  <c r="K1145" i="43"/>
  <c r="S1147" i="43"/>
  <c r="S1167" i="43"/>
  <c r="S1183" i="43"/>
  <c r="K1188" i="43"/>
  <c r="Q1196" i="43"/>
  <c r="S1196" i="43" s="1"/>
  <c r="K1200" i="43"/>
  <c r="S1221" i="43"/>
  <c r="Q1227" i="43"/>
  <c r="S1227" i="43" s="1"/>
  <c r="K1227" i="43"/>
  <c r="I1223" i="43"/>
  <c r="Q1236" i="43"/>
  <c r="S1236" i="43" s="1"/>
  <c r="K1242" i="43"/>
  <c r="Q1334" i="43"/>
  <c r="S1334" i="43" s="1"/>
  <c r="K1334" i="43"/>
  <c r="Q1268" i="43"/>
  <c r="S1268" i="43" s="1"/>
  <c r="K1268" i="43"/>
  <c r="I1267" i="43"/>
  <c r="Q1270" i="43"/>
  <c r="S1270" i="43" s="1"/>
  <c r="K1270" i="43"/>
  <c r="R1283" i="43"/>
  <c r="K1318" i="43"/>
  <c r="Q1318" i="43"/>
  <c r="S1318" i="43" s="1"/>
  <c r="I1105" i="43"/>
  <c r="Q1254" i="43"/>
  <c r="S1254" i="43" s="1"/>
  <c r="O1254" i="43"/>
  <c r="M1253" i="43"/>
  <c r="Q1259" i="43"/>
  <c r="S1259" i="43" s="1"/>
  <c r="K1259" i="43"/>
  <c r="I1258" i="43"/>
  <c r="Q1261" i="43"/>
  <c r="S1261" i="43" s="1"/>
  <c r="K1261" i="43"/>
  <c r="Q1327" i="43"/>
  <c r="R1343" i="43"/>
  <c r="J1273" i="43"/>
  <c r="R1292" i="43"/>
  <c r="S1292" i="43" s="1"/>
  <c r="Q1303" i="43"/>
  <c r="S1303" i="43" s="1"/>
  <c r="R1313" i="43"/>
  <c r="K1338" i="43"/>
  <c r="Q1280" i="43"/>
  <c r="S1280" i="43" s="1"/>
  <c r="Q1288" i="43"/>
  <c r="S1288" i="43" s="1"/>
  <c r="S1294" i="43"/>
  <c r="K1311" i="43"/>
  <c r="K1315" i="43"/>
  <c r="S1319" i="43"/>
  <c r="Q1324" i="43"/>
  <c r="S1324" i="43" s="1"/>
  <c r="K1325" i="43"/>
  <c r="Q1353" i="43"/>
  <c r="S1353" i="43" s="1"/>
  <c r="Q1348" i="43"/>
  <c r="S1348" i="43" s="1"/>
  <c r="K1350" i="43"/>
  <c r="S1354" i="43"/>
  <c r="S425" i="43"/>
  <c r="Q439" i="43"/>
  <c r="S439" i="43" s="1"/>
  <c r="I436" i="43"/>
  <c r="Q436" i="43" s="1"/>
  <c r="R424" i="43"/>
  <c r="S440" i="43"/>
  <c r="J423" i="43"/>
  <c r="O466" i="43"/>
  <c r="M461" i="43"/>
  <c r="O455" i="43"/>
  <c r="R461" i="43"/>
  <c r="Q472" i="43"/>
  <c r="S472" i="43" s="1"/>
  <c r="Q483" i="43"/>
  <c r="S483" i="43" s="1"/>
  <c r="Q484" i="43"/>
  <c r="S484" i="43" s="1"/>
  <c r="Q487" i="43"/>
  <c r="S487" i="43" s="1"/>
  <c r="Q489" i="43"/>
  <c r="S489" i="43" s="1"/>
  <c r="Q490" i="43"/>
  <c r="S490" i="43" s="1"/>
  <c r="Q527" i="43"/>
  <c r="S527" i="43" s="1"/>
  <c r="J447" i="43"/>
  <c r="Q449" i="43"/>
  <c r="S449" i="43" s="1"/>
  <c r="K450" i="43"/>
  <c r="Q453" i="43"/>
  <c r="S453" i="43" s="1"/>
  <c r="N454" i="43"/>
  <c r="Q540" i="43"/>
  <c r="S540" i="43" s="1"/>
  <c r="O540" i="43"/>
  <c r="O520" i="43"/>
  <c r="R520" i="43"/>
  <c r="S520" i="43" s="1"/>
  <c r="Q542" i="43"/>
  <c r="S542" i="43" s="1"/>
  <c r="O542" i="43"/>
  <c r="O459" i="43"/>
  <c r="Q466" i="43"/>
  <c r="S466" i="43" s="1"/>
  <c r="Q467" i="43"/>
  <c r="S467" i="43" s="1"/>
  <c r="Q470" i="43"/>
  <c r="S470" i="43" s="1"/>
  <c r="Q471" i="43"/>
  <c r="S471" i="43" s="1"/>
  <c r="Q473" i="43"/>
  <c r="S473" i="43" s="1"/>
  <c r="Q478" i="43"/>
  <c r="S478" i="43" s="1"/>
  <c r="Q488" i="43"/>
  <c r="S488" i="43" s="1"/>
  <c r="Q496" i="43"/>
  <c r="S496" i="43" s="1"/>
  <c r="R522" i="43"/>
  <c r="S522" i="43" s="1"/>
  <c r="O522" i="43"/>
  <c r="Q531" i="43"/>
  <c r="S531" i="43" s="1"/>
  <c r="O531" i="43"/>
  <c r="S533" i="43"/>
  <c r="Q537" i="43"/>
  <c r="S537" i="43" s="1"/>
  <c r="O537" i="43"/>
  <c r="S539" i="43"/>
  <c r="I448" i="43"/>
  <c r="K448" i="43" s="1"/>
  <c r="S460" i="43"/>
  <c r="Q481" i="43"/>
  <c r="M480" i="43"/>
  <c r="Q480" i="43" s="1"/>
  <c r="S499" i="43"/>
  <c r="O501" i="43"/>
  <c r="O504" i="43"/>
  <c r="R504" i="43"/>
  <c r="S504" i="43" s="1"/>
  <c r="Q318" i="43"/>
  <c r="S318" i="43" s="1"/>
  <c r="I317" i="43"/>
  <c r="Q363" i="43"/>
  <c r="I362" i="43"/>
  <c r="R334" i="43"/>
  <c r="S345" i="43"/>
  <c r="S352" i="43"/>
  <c r="S364" i="43"/>
  <c r="R366" i="43"/>
  <c r="S366" i="43" s="1"/>
  <c r="N365" i="43"/>
  <c r="O366" i="43"/>
  <c r="S376" i="43"/>
  <c r="J317" i="43"/>
  <c r="K320" i="43"/>
  <c r="S323" i="43"/>
  <c r="S333" i="43"/>
  <c r="Q336" i="43"/>
  <c r="S336" i="43" s="1"/>
  <c r="R339" i="43"/>
  <c r="S339" i="43" s="1"/>
  <c r="N341" i="43"/>
  <c r="Q346" i="43"/>
  <c r="M341" i="43"/>
  <c r="S350" i="43"/>
  <c r="M362" i="43"/>
  <c r="K318" i="43"/>
  <c r="R378" i="43"/>
  <c r="K378" i="43"/>
  <c r="J377" i="43"/>
  <c r="Q325" i="43"/>
  <c r="S325" i="43" s="1"/>
  <c r="K325" i="43"/>
  <c r="N331" i="43"/>
  <c r="S356" i="43"/>
  <c r="R359" i="43"/>
  <c r="K363" i="43"/>
  <c r="B241" i="43"/>
  <c r="B242" i="43" s="1"/>
  <c r="B243" i="43" s="1"/>
  <c r="B244" i="43" s="1"/>
  <c r="B245" i="43" s="1"/>
  <c r="B246" i="43" s="1"/>
  <c r="B247" i="43" s="1"/>
  <c r="B248" i="43" s="1"/>
  <c r="B249" i="43" s="1"/>
  <c r="B250" i="43" s="1"/>
  <c r="B251" i="43" s="1"/>
  <c r="B252" i="43" s="1"/>
  <c r="B253" i="43" s="1"/>
  <c r="B254" i="43" s="1"/>
  <c r="B255" i="43" s="1"/>
  <c r="B256" i="43" s="1"/>
  <c r="B257" i="43" s="1"/>
  <c r="B258" i="43" s="1"/>
  <c r="B259" i="43" s="1"/>
  <c r="B260" i="43" s="1"/>
  <c r="B261" i="43" s="1"/>
  <c r="B262" i="43" s="1"/>
  <c r="B263" i="43" s="1"/>
  <c r="B264" i="43" s="1"/>
  <c r="B265" i="43" s="1"/>
  <c r="B266" i="43" s="1"/>
  <c r="B267" i="43" s="1"/>
  <c r="B268" i="43" s="1"/>
  <c r="B269" i="43" s="1"/>
  <c r="B270" i="43" s="1"/>
  <c r="B271" i="43" s="1"/>
  <c r="B272" i="43" s="1"/>
  <c r="B273" i="43" s="1"/>
  <c r="B274" i="43" s="1"/>
  <c r="B275" i="43" s="1"/>
  <c r="B276" i="43" s="1"/>
  <c r="B277" i="43" s="1"/>
  <c r="B278" i="43" s="1"/>
  <c r="B279" i="43" s="1"/>
  <c r="B280" i="43" s="1"/>
  <c r="B281" i="43" s="1"/>
  <c r="B240" i="43"/>
  <c r="R227" i="43"/>
  <c r="S227" i="43" s="1"/>
  <c r="K227" i="43"/>
  <c r="J222" i="43"/>
  <c r="S228" i="43"/>
  <c r="K258" i="43"/>
  <c r="Q258" i="43"/>
  <c r="S258" i="43" s="1"/>
  <c r="K214" i="43"/>
  <c r="K216" i="43"/>
  <c r="S218" i="43"/>
  <c r="Q220" i="43"/>
  <c r="S220" i="43" s="1"/>
  <c r="K220" i="43"/>
  <c r="S246" i="43"/>
  <c r="S252" i="43"/>
  <c r="K265" i="43"/>
  <c r="Q265" i="43"/>
  <c r="S265" i="43" s="1"/>
  <c r="I261" i="43"/>
  <c r="R250" i="43"/>
  <c r="I253" i="43"/>
  <c r="K253" i="43" s="1"/>
  <c r="K224" i="43"/>
  <c r="K226" i="43"/>
  <c r="Q132" i="43"/>
  <c r="S132" i="43" s="1"/>
  <c r="K132" i="43"/>
  <c r="R122" i="43"/>
  <c r="N118" i="43"/>
  <c r="I131" i="43"/>
  <c r="K131" i="43" s="1"/>
  <c r="Q172" i="43"/>
  <c r="Q113" i="43"/>
  <c r="S113" i="43" s="1"/>
  <c r="K113" i="43"/>
  <c r="I112" i="43"/>
  <c r="R116" i="43"/>
  <c r="S116" i="43" s="1"/>
  <c r="K116" i="43"/>
  <c r="J115" i="43"/>
  <c r="K112" i="43"/>
  <c r="R148" i="43"/>
  <c r="N143" i="43"/>
  <c r="O200" i="43"/>
  <c r="Q179" i="43"/>
  <c r="S179" i="43" s="1"/>
  <c r="K179" i="43"/>
  <c r="I178" i="43"/>
  <c r="Q196" i="43"/>
  <c r="S196" i="43" s="1"/>
  <c r="I195" i="43"/>
  <c r="Q151" i="43"/>
  <c r="S151" i="43" s="1"/>
  <c r="M148" i="43"/>
  <c r="Q148" i="43" s="1"/>
  <c r="O151" i="43"/>
  <c r="Q159" i="43"/>
  <c r="S159" i="43" s="1"/>
  <c r="O172" i="43"/>
  <c r="Q176" i="43"/>
  <c r="S176" i="43" s="1"/>
  <c r="O176" i="43"/>
  <c r="M175" i="43"/>
  <c r="M171" i="43" s="1"/>
  <c r="N189" i="43"/>
  <c r="S192" i="43"/>
  <c r="J195" i="43"/>
  <c r="K196" i="43"/>
  <c r="K121" i="43"/>
  <c r="R125" i="43"/>
  <c r="S125" i="43" s="1"/>
  <c r="J124" i="43"/>
  <c r="Q136" i="43"/>
  <c r="S136" i="43" s="1"/>
  <c r="K136" i="43"/>
  <c r="I135" i="43"/>
  <c r="Q138" i="43"/>
  <c r="S138" i="43" s="1"/>
  <c r="K138" i="43"/>
  <c r="S141" i="43"/>
  <c r="S144" i="43"/>
  <c r="S152" i="43"/>
  <c r="K159" i="43"/>
  <c r="J158" i="43"/>
  <c r="Q163" i="43"/>
  <c r="S163" i="43" s="1"/>
  <c r="K163" i="43"/>
  <c r="Q165" i="43"/>
  <c r="S165" i="43" s="1"/>
  <c r="K165" i="43"/>
  <c r="S173" i="43"/>
  <c r="M122" i="43"/>
  <c r="O122" i="43" s="1"/>
  <c r="K125" i="43"/>
  <c r="O144" i="43"/>
  <c r="J154" i="43"/>
  <c r="R161" i="43"/>
  <c r="K166" i="43"/>
  <c r="S197" i="43"/>
  <c r="Q200" i="43"/>
  <c r="S200" i="43" s="1"/>
  <c r="S201" i="43"/>
  <c r="M190" i="43"/>
  <c r="O190" i="43" s="1"/>
  <c r="N199" i="43"/>
  <c r="S80" i="43"/>
  <c r="Q77" i="43"/>
  <c r="S77" i="43" s="1"/>
  <c r="Q87" i="43"/>
  <c r="S87" i="43" s="1"/>
  <c r="R90" i="43"/>
  <c r="K80" i="43"/>
  <c r="I81" i="43"/>
  <c r="Q81" i="43" s="1"/>
  <c r="S81" i="43" s="1"/>
  <c r="J89" i="43"/>
  <c r="K31" i="43"/>
  <c r="J61" i="43"/>
  <c r="J24" i="43"/>
  <c r="R24" i="43" s="1"/>
  <c r="Q29" i="43"/>
  <c r="S29" i="43" s="1"/>
  <c r="M38" i="43"/>
  <c r="Q38" i="43" s="1"/>
  <c r="Q39" i="43"/>
  <c r="S39" i="43" s="1"/>
  <c r="S41" i="43"/>
  <c r="O49" i="43"/>
  <c r="S49" i="43"/>
  <c r="Q15" i="43"/>
  <c r="S15" i="43" s="1"/>
  <c r="K19" i="43"/>
  <c r="K26" i="43"/>
  <c r="K29" i="43"/>
  <c r="Q44" i="43"/>
  <c r="S44" i="43" s="1"/>
  <c r="Q47" i="43"/>
  <c r="S47" i="43" s="1"/>
  <c r="M48" i="43"/>
  <c r="Q48" i="43" s="1"/>
  <c r="Q62" i="43"/>
  <c r="I12" i="43"/>
  <c r="K12" i="43" s="1"/>
  <c r="S40" i="43"/>
  <c r="S16" i="43"/>
  <c r="K22" i="43"/>
  <c r="K25" i="43"/>
  <c r="S26" i="43"/>
  <c r="S31" i="43"/>
  <c r="S33" i="43"/>
  <c r="N37" i="43"/>
  <c r="Q58" i="43"/>
  <c r="S58" i="43" s="1"/>
  <c r="K58" i="43"/>
  <c r="Q17" i="43"/>
  <c r="S17" i="43" s="1"/>
  <c r="K17" i="43"/>
  <c r="Q54" i="43"/>
  <c r="S54" i="43" s="1"/>
  <c r="K54" i="43"/>
  <c r="K14" i="43"/>
  <c r="I24" i="43"/>
  <c r="R12" i="43"/>
  <c r="S13" i="43"/>
  <c r="Q22" i="43"/>
  <c r="S22" i="43" s="1"/>
  <c r="S23" i="43"/>
  <c r="R38" i="43"/>
  <c r="O40" i="43"/>
  <c r="R43" i="43"/>
  <c r="J42" i="43"/>
  <c r="N45" i="43"/>
  <c r="R48" i="43"/>
  <c r="R55" i="43"/>
  <c r="J53" i="43"/>
  <c r="K59" i="43"/>
  <c r="J30" i="43"/>
  <c r="J21" i="43"/>
  <c r="I43" i="43"/>
  <c r="M46" i="43"/>
  <c r="O46" i="43" s="1"/>
  <c r="I55" i="43"/>
  <c r="Q1936" i="43" l="1"/>
  <c r="S1936" i="43" s="1"/>
  <c r="K577" i="43"/>
  <c r="Q737" i="43"/>
  <c r="S737" i="43" s="1"/>
  <c r="R1678" i="43"/>
  <c r="S1678" i="43" s="1"/>
  <c r="M1938" i="43"/>
  <c r="S1372" i="43"/>
  <c r="M268" i="43"/>
  <c r="Q268" i="43" s="1"/>
  <c r="S268" i="43" s="1"/>
  <c r="Q633" i="43"/>
  <c r="K737" i="43"/>
  <c r="K32" i="43"/>
  <c r="Q1276" i="43"/>
  <c r="S1276" i="43" s="1"/>
  <c r="I1066" i="43"/>
  <c r="Q1066" i="43" s="1"/>
  <c r="K1554" i="43"/>
  <c r="K1898" i="43"/>
  <c r="O1941" i="43"/>
  <c r="S272" i="43"/>
  <c r="Q1913" i="43"/>
  <c r="O1402" i="43"/>
  <c r="K1327" i="43"/>
  <c r="Q1346" i="43"/>
  <c r="S1346" i="43" s="1"/>
  <c r="M899" i="43"/>
  <c r="O1877" i="43"/>
  <c r="S1313" i="43"/>
  <c r="K429" i="43"/>
  <c r="I1541" i="43"/>
  <c r="R1722" i="43"/>
  <c r="K1700" i="43"/>
  <c r="S1877" i="43"/>
  <c r="S1679" i="43"/>
  <c r="O900" i="43"/>
  <c r="K1313" i="43"/>
  <c r="K1335" i="43"/>
  <c r="S1402" i="43"/>
  <c r="J275" i="43"/>
  <c r="S1697" i="43"/>
  <c r="S657" i="43"/>
  <c r="K276" i="43"/>
  <c r="K1112" i="43"/>
  <c r="I1109" i="43"/>
  <c r="Q1109" i="43" s="1"/>
  <c r="S1109" i="43" s="1"/>
  <c r="M1485" i="43"/>
  <c r="Q1485" i="43" s="1"/>
  <c r="M1668" i="43"/>
  <c r="Q1668" i="43" s="1"/>
  <c r="J1848" i="43"/>
  <c r="K1944" i="43"/>
  <c r="S1691" i="43"/>
  <c r="I275" i="43"/>
  <c r="Q275" i="43" s="1"/>
  <c r="O193" i="43"/>
  <c r="K657" i="43"/>
  <c r="N158" i="43"/>
  <c r="R158" i="43" s="1"/>
  <c r="K765" i="43"/>
  <c r="R1397" i="43"/>
  <c r="K1162" i="43"/>
  <c r="I30" i="43"/>
  <c r="K30" i="43" s="1"/>
  <c r="S90" i="43"/>
  <c r="I154" i="43"/>
  <c r="Q154" i="43" s="1"/>
  <c r="O359" i="43"/>
  <c r="I654" i="43"/>
  <c r="Q654" i="43" s="1"/>
  <c r="M1722" i="43"/>
  <c r="M1711" i="43" s="1"/>
  <c r="K169" i="43"/>
  <c r="S334" i="43"/>
  <c r="I1156" i="43"/>
  <c r="Q1156" i="43" s="1"/>
  <c r="S1156" i="43" s="1"/>
  <c r="K609" i="43"/>
  <c r="I606" i="43"/>
  <c r="Q606" i="43" s="1"/>
  <c r="K1515" i="43"/>
  <c r="O1461" i="43"/>
  <c r="Q1159" i="43"/>
  <c r="S1159" i="43" s="1"/>
  <c r="O1409" i="43"/>
  <c r="K155" i="43"/>
  <c r="R480" i="43"/>
  <c r="S480" i="43" s="1"/>
  <c r="O1723" i="43"/>
  <c r="O334" i="43"/>
  <c r="K183" i="43"/>
  <c r="N1182" i="43"/>
  <c r="R1182" i="43" s="1"/>
  <c r="S1555" i="43"/>
  <c r="S1669" i="43"/>
  <c r="S1705" i="43"/>
  <c r="S1558" i="43"/>
  <c r="S424" i="43"/>
  <c r="S1390" i="43"/>
  <c r="S83" i="43"/>
  <c r="S1215" i="43"/>
  <c r="S1283" i="43"/>
  <c r="S1191" i="43"/>
  <c r="S276" i="43"/>
  <c r="S363" i="43"/>
  <c r="S1112" i="43"/>
  <c r="S193" i="43"/>
  <c r="S429" i="43"/>
  <c r="S878" i="43"/>
  <c r="K368" i="43"/>
  <c r="J428" i="43"/>
  <c r="R428" i="43" s="1"/>
  <c r="S734" i="43"/>
  <c r="I624" i="43"/>
  <c r="K624" i="43" s="1"/>
  <c r="K79" i="43"/>
  <c r="S1723" i="43"/>
  <c r="N260" i="43"/>
  <c r="N213" i="43" s="1"/>
  <c r="J8" i="15" s="1"/>
  <c r="O48" i="43"/>
  <c r="M260" i="43"/>
  <c r="K436" i="43"/>
  <c r="K1320" i="43"/>
  <c r="O1191" i="43"/>
  <c r="K1143" i="43"/>
  <c r="M1182" i="43"/>
  <c r="O1182" i="43" s="1"/>
  <c r="Q1143" i="43"/>
  <c r="S1143" i="43" s="1"/>
  <c r="S1238" i="43"/>
  <c r="I1194" i="43"/>
  <c r="Q1194" i="43" s="1"/>
  <c r="S1194" i="43" s="1"/>
  <c r="I576" i="43"/>
  <c r="Q576" i="43" s="1"/>
  <c r="Q825" i="43"/>
  <c r="M1424" i="43"/>
  <c r="Q1424" i="43" s="1"/>
  <c r="S1368" i="43"/>
  <c r="J1703" i="43"/>
  <c r="R1703" i="43" s="1"/>
  <c r="K182" i="43"/>
  <c r="K180" i="43"/>
  <c r="J348" i="43"/>
  <c r="J338" i="43" s="1"/>
  <c r="O268" i="43"/>
  <c r="N1454" i="43"/>
  <c r="R1454" i="43" s="1"/>
  <c r="K1372" i="43"/>
  <c r="I1343" i="43"/>
  <c r="I1310" i="43"/>
  <c r="Q1310" i="43" s="1"/>
  <c r="S1933" i="43"/>
  <c r="I371" i="43"/>
  <c r="Q371" i="43" s="1"/>
  <c r="I1674" i="43"/>
  <c r="Q1674" i="43" s="1"/>
  <c r="K1543" i="43"/>
  <c r="S1328" i="43"/>
  <c r="I158" i="43"/>
  <c r="K734" i="43"/>
  <c r="S1663" i="43"/>
  <c r="M598" i="43"/>
  <c r="Q599" i="43"/>
  <c r="Q1840" i="43"/>
  <c r="S1840" i="43" s="1"/>
  <c r="I1837" i="43"/>
  <c r="K1837" i="43" s="1"/>
  <c r="Q454" i="43"/>
  <c r="M447" i="43"/>
  <c r="M427" i="43" s="1"/>
  <c r="Q1307" i="43"/>
  <c r="S1307" i="43" s="1"/>
  <c r="K1283" i="43"/>
  <c r="K1238" i="43"/>
  <c r="K1069" i="43"/>
  <c r="K941" i="43"/>
  <c r="S634" i="43"/>
  <c r="K627" i="43"/>
  <c r="I779" i="43"/>
  <c r="Q779" i="43" s="1"/>
  <c r="S1436" i="43"/>
  <c r="K1393" i="43"/>
  <c r="J1541" i="43"/>
  <c r="K1541" i="43" s="1"/>
  <c r="K1678" i="43"/>
  <c r="K1849" i="43"/>
  <c r="I1932" i="43"/>
  <c r="I1931" i="43" s="1"/>
  <c r="I1930" i="43" s="1"/>
  <c r="E16" i="15" s="1"/>
  <c r="S1543" i="43"/>
  <c r="K1933" i="43"/>
  <c r="R1335" i="43"/>
  <c r="S1335" i="43" s="1"/>
  <c r="J1332" i="43"/>
  <c r="K18" i="43"/>
  <c r="K161" i="43"/>
  <c r="I1273" i="43"/>
  <c r="Q1273" i="43" s="1"/>
  <c r="K579" i="43"/>
  <c r="I1371" i="43"/>
  <c r="Q1371" i="43" s="1"/>
  <c r="S1371" i="43" s="1"/>
  <c r="M1657" i="43"/>
  <c r="Q1657" i="43" s="1"/>
  <c r="K1675" i="43"/>
  <c r="S732" i="43"/>
  <c r="Q1952" i="43"/>
  <c r="M1944" i="43"/>
  <c r="Q1944" i="43" s="1"/>
  <c r="Q128" i="43"/>
  <c r="S128" i="43" s="1"/>
  <c r="M124" i="43"/>
  <c r="O124" i="43" s="1"/>
  <c r="K83" i="43"/>
  <c r="S443" i="43"/>
  <c r="S436" i="43"/>
  <c r="S161" i="43"/>
  <c r="S368" i="43"/>
  <c r="S38" i="43"/>
  <c r="S62" i="43"/>
  <c r="I1094" i="43"/>
  <c r="Q1097" i="43"/>
  <c r="S1097" i="43" s="1"/>
  <c r="I338" i="43"/>
  <c r="K240" i="43"/>
  <c r="Q240" i="43"/>
  <c r="I219" i="43"/>
  <c r="Q219" i="43" s="1"/>
  <c r="S148" i="43"/>
  <c r="S172" i="43"/>
  <c r="I1235" i="43"/>
  <c r="K1235" i="43" s="1"/>
  <c r="K1781" i="43"/>
  <c r="R1953" i="43"/>
  <c r="S1953" i="43" s="1"/>
  <c r="O1953" i="43"/>
  <c r="N1952" i="43"/>
  <c r="I1704" i="43"/>
  <c r="K1705" i="43"/>
  <c r="Q1649" i="43"/>
  <c r="M1624" i="43"/>
  <c r="Q1411" i="43"/>
  <c r="S1411" i="43" s="1"/>
  <c r="M1408" i="43"/>
  <c r="K1780" i="43"/>
  <c r="I1289" i="43"/>
  <c r="Q1300" i="43"/>
  <c r="S1300" i="43" s="1"/>
  <c r="O38" i="43"/>
  <c r="S481" i="43"/>
  <c r="I1514" i="43"/>
  <c r="K1514" i="43" s="1"/>
  <c r="S1637" i="43"/>
  <c r="N1674" i="43"/>
  <c r="R1674" i="43" s="1"/>
  <c r="N1657" i="43"/>
  <c r="M1617" i="43"/>
  <c r="O1617" i="43" s="1"/>
  <c r="Q1618" i="43"/>
  <c r="S1618" i="43" s="1"/>
  <c r="O1618" i="43"/>
  <c r="R1938" i="43"/>
  <c r="N1932" i="43"/>
  <c r="R1932" i="43" s="1"/>
  <c r="R1230" i="43"/>
  <c r="S1230" i="43" s="1"/>
  <c r="K1230" i="43"/>
  <c r="S1780" i="43"/>
  <c r="S1630" i="43"/>
  <c r="M1439" i="43"/>
  <c r="O1439" i="43" s="1"/>
  <c r="Q1440" i="43"/>
  <c r="S1440" i="43" s="1"/>
  <c r="R900" i="43"/>
  <c r="S900" i="43" s="1"/>
  <c r="N899" i="43"/>
  <c r="O899" i="43" s="1"/>
  <c r="Q1447" i="43"/>
  <c r="S1447" i="43" s="1"/>
  <c r="I1444" i="43"/>
  <c r="K1444" i="43" s="1"/>
  <c r="Q1416" i="43"/>
  <c r="S1416" i="43" s="1"/>
  <c r="I1413" i="43"/>
  <c r="K1413" i="43" s="1"/>
  <c r="Q1688" i="43"/>
  <c r="S1688" i="43" s="1"/>
  <c r="M1674" i="43"/>
  <c r="R1310" i="43"/>
  <c r="O332" i="43"/>
  <c r="Q771" i="43"/>
  <c r="S771" i="43" s="1"/>
  <c r="K771" i="43"/>
  <c r="R240" i="43"/>
  <c r="J239" i="43"/>
  <c r="R239" i="43" s="1"/>
  <c r="Q731" i="43"/>
  <c r="M723" i="43"/>
  <c r="K230" i="43"/>
  <c r="R230" i="43"/>
  <c r="S230" i="43" s="1"/>
  <c r="M143" i="43"/>
  <c r="Q143" i="43" s="1"/>
  <c r="S1327" i="43"/>
  <c r="K815" i="43"/>
  <c r="K645" i="43"/>
  <c r="O1688" i="43"/>
  <c r="S1913" i="43"/>
  <c r="S1849" i="43"/>
  <c r="Q1781" i="43"/>
  <c r="S1781" i="43" s="1"/>
  <c r="S1675" i="43"/>
  <c r="S378" i="43"/>
  <c r="S346" i="43"/>
  <c r="S48" i="43"/>
  <c r="M37" i="43"/>
  <c r="M30" i="43" s="1"/>
  <c r="R351" i="43"/>
  <c r="S351" i="43" s="1"/>
  <c r="M331" i="43"/>
  <c r="Q331" i="43" s="1"/>
  <c r="I428" i="43"/>
  <c r="K1246" i="43"/>
  <c r="O1307" i="43"/>
  <c r="S1051" i="43"/>
  <c r="S1001" i="43"/>
  <c r="O1663" i="43"/>
  <c r="K1861" i="43"/>
  <c r="R1863" i="43"/>
  <c r="I1779" i="43"/>
  <c r="Q1779" i="43" s="1"/>
  <c r="Q1773" i="43"/>
  <c r="S1773" i="43" s="1"/>
  <c r="I1770" i="43"/>
  <c r="Q359" i="43"/>
  <c r="S359" i="43" s="1"/>
  <c r="M348" i="43"/>
  <c r="O348" i="43" s="1"/>
  <c r="S332" i="43"/>
  <c r="K963" i="43"/>
  <c r="Q963" i="43"/>
  <c r="S963" i="43" s="1"/>
  <c r="I118" i="43"/>
  <c r="Q119" i="43"/>
  <c r="S119" i="43" s="1"/>
  <c r="O1938" i="43"/>
  <c r="M1932" i="43"/>
  <c r="Q1938" i="43"/>
  <c r="J1931" i="43"/>
  <c r="R1826" i="43"/>
  <c r="Q1901" i="43"/>
  <c r="S1901" i="43" s="1"/>
  <c r="I1900" i="43"/>
  <c r="Q1900" i="43" s="1"/>
  <c r="R1892" i="43"/>
  <c r="Q1785" i="43"/>
  <c r="S1785" i="43" s="1"/>
  <c r="I1784" i="43"/>
  <c r="K1784" i="43" s="1"/>
  <c r="Q1896" i="43"/>
  <c r="S1896" i="43" s="1"/>
  <c r="I1895" i="43"/>
  <c r="K1896" i="43"/>
  <c r="I1880" i="43"/>
  <c r="Q1883" i="43"/>
  <c r="S1883" i="43" s="1"/>
  <c r="K1883" i="43"/>
  <c r="Q1893" i="43"/>
  <c r="S1893" i="43" s="1"/>
  <c r="I1892" i="43"/>
  <c r="Q1892" i="43" s="1"/>
  <c r="K1901" i="43"/>
  <c r="R1909" i="43"/>
  <c r="O1889" i="43"/>
  <c r="N1880" i="43"/>
  <c r="R1889" i="43"/>
  <c r="R1848" i="43"/>
  <c r="K1819" i="43"/>
  <c r="Q1819" i="43"/>
  <c r="S1819" i="43" s="1"/>
  <c r="I1816" i="43"/>
  <c r="R1779" i="43"/>
  <c r="N1857" i="43"/>
  <c r="Q1889" i="43"/>
  <c r="M1880" i="43"/>
  <c r="M1879" i="43" s="1"/>
  <c r="M1874" i="43"/>
  <c r="Q1875" i="43"/>
  <c r="S1875" i="43" s="1"/>
  <c r="O1875" i="43"/>
  <c r="J1802" i="43"/>
  <c r="R1900" i="43"/>
  <c r="R1831" i="43"/>
  <c r="S1831" i="43" s="1"/>
  <c r="K1831" i="43"/>
  <c r="Q1866" i="43"/>
  <c r="S1866" i="43" s="1"/>
  <c r="I1863" i="43"/>
  <c r="I1826" i="43"/>
  <c r="Q1826" i="43" s="1"/>
  <c r="Q1827" i="43"/>
  <c r="S1827" i="43" s="1"/>
  <c r="I1803" i="43"/>
  <c r="Q1806" i="43"/>
  <c r="S1806" i="43" s="1"/>
  <c r="K1806" i="43"/>
  <c r="R1815" i="43"/>
  <c r="M1803" i="43"/>
  <c r="M1802" i="43" s="1"/>
  <c r="M1801" i="43" s="1"/>
  <c r="Q1812" i="43"/>
  <c r="R1837" i="43"/>
  <c r="J1836" i="43"/>
  <c r="J1825" i="43" s="1"/>
  <c r="K1866" i="43"/>
  <c r="I1854" i="43"/>
  <c r="Q1855" i="43"/>
  <c r="S1855" i="43" s="1"/>
  <c r="K1855" i="43"/>
  <c r="Q1910" i="43"/>
  <c r="S1910" i="43" s="1"/>
  <c r="I1909" i="43"/>
  <c r="K1909" i="43" s="1"/>
  <c r="O1812" i="43"/>
  <c r="N1803" i="43"/>
  <c r="R1812" i="43"/>
  <c r="R1784" i="43"/>
  <c r="J1783" i="43"/>
  <c r="K1654" i="43"/>
  <c r="J1653" i="43"/>
  <c r="Q1722" i="43"/>
  <c r="S1722" i="43" s="1"/>
  <c r="R1627" i="43"/>
  <c r="S1627" i="43" s="1"/>
  <c r="K1627" i="43"/>
  <c r="R1657" i="43"/>
  <c r="S1696" i="43"/>
  <c r="R1617" i="43"/>
  <c r="I1699" i="43"/>
  <c r="Q1699" i="43" s="1"/>
  <c r="Q1700" i="43"/>
  <c r="S1700" i="43" s="1"/>
  <c r="J1624" i="43"/>
  <c r="I1624" i="43"/>
  <c r="O1722" i="43"/>
  <c r="R1699" i="43"/>
  <c r="R1711" i="43"/>
  <c r="J1710" i="43"/>
  <c r="Q1714" i="43"/>
  <c r="S1714" i="43" s="1"/>
  <c r="K1714" i="43"/>
  <c r="I1711" i="43"/>
  <c r="O1671" i="43"/>
  <c r="N1668" i="43"/>
  <c r="R1671" i="43"/>
  <c r="S1671" i="43" s="1"/>
  <c r="R1649" i="43"/>
  <c r="O1649" i="43"/>
  <c r="N1624" i="43"/>
  <c r="I1653" i="43"/>
  <c r="K1668" i="43"/>
  <c r="K1637" i="43"/>
  <c r="K1537" i="43"/>
  <c r="Q1537" i="43"/>
  <c r="S1537" i="43" s="1"/>
  <c r="I1536" i="43"/>
  <c r="O1557" i="43"/>
  <c r="R1557" i="43"/>
  <c r="S1557" i="43" s="1"/>
  <c r="R1548" i="43"/>
  <c r="N1541" i="43"/>
  <c r="J1513" i="43"/>
  <c r="F13" i="15" s="1"/>
  <c r="M1548" i="43"/>
  <c r="Q1551" i="43"/>
  <c r="S1551" i="43" s="1"/>
  <c r="K1367" i="43"/>
  <c r="R1367" i="43"/>
  <c r="S1367" i="43" s="1"/>
  <c r="R1444" i="43"/>
  <c r="J1443" i="43"/>
  <c r="I1472" i="43"/>
  <c r="Q1475" i="43"/>
  <c r="S1475" i="43" s="1"/>
  <c r="M1454" i="43"/>
  <c r="Q1455" i="43"/>
  <c r="S1455" i="43" s="1"/>
  <c r="K1398" i="43"/>
  <c r="I1397" i="43"/>
  <c r="Q1398" i="43"/>
  <c r="S1398" i="43" s="1"/>
  <c r="R1485" i="43"/>
  <c r="N1472" i="43"/>
  <c r="S1461" i="43"/>
  <c r="J1405" i="43"/>
  <c r="R1413" i="43"/>
  <c r="K1475" i="43"/>
  <c r="N1405" i="43"/>
  <c r="R1408" i="43"/>
  <c r="I1423" i="43"/>
  <c r="R1427" i="43"/>
  <c r="S1427" i="43" s="1"/>
  <c r="O1427" i="43"/>
  <c r="N1424" i="43"/>
  <c r="N1430" i="43"/>
  <c r="R1439" i="43"/>
  <c r="K1433" i="43"/>
  <c r="R1433" i="43"/>
  <c r="S1433" i="43" s="1"/>
  <c r="J1430" i="43"/>
  <c r="O1397" i="43"/>
  <c r="O1455" i="43"/>
  <c r="K1223" i="43"/>
  <c r="Q1223" i="43"/>
  <c r="S1223" i="43" s="1"/>
  <c r="I1212" i="43"/>
  <c r="Q1212" i="43" s="1"/>
  <c r="K1194" i="43"/>
  <c r="K1258" i="43"/>
  <c r="Q1258" i="43"/>
  <c r="S1258" i="43" s="1"/>
  <c r="M1252" i="43"/>
  <c r="O1253" i="43"/>
  <c r="Q1253" i="43"/>
  <c r="S1253" i="43" s="1"/>
  <c r="K1120" i="43"/>
  <c r="Q1120" i="43"/>
  <c r="S1120" i="43" s="1"/>
  <c r="I1117" i="43"/>
  <c r="Q1039" i="43"/>
  <c r="S1039" i="43" s="1"/>
  <c r="I1036" i="43"/>
  <c r="Q1036" i="43" s="1"/>
  <c r="K1151" i="43"/>
  <c r="Q1151" i="43"/>
  <c r="S1151" i="43" s="1"/>
  <c r="I1148" i="43"/>
  <c r="R1078" i="43"/>
  <c r="R1017" i="43"/>
  <c r="O1289" i="43"/>
  <c r="R1235" i="43"/>
  <c r="Q1012" i="43"/>
  <c r="S1012" i="43" s="1"/>
  <c r="I1009" i="43"/>
  <c r="Q930" i="43"/>
  <c r="S930" i="43" s="1"/>
  <c r="I927" i="43"/>
  <c r="Q927" i="43" s="1"/>
  <c r="Q709" i="43"/>
  <c r="S709" i="43" s="1"/>
  <c r="M706" i="43"/>
  <c r="O706" i="43" s="1"/>
  <c r="Q639" i="43"/>
  <c r="S639" i="43" s="1"/>
  <c r="I636" i="43"/>
  <c r="Q636" i="43" s="1"/>
  <c r="Q768" i="43"/>
  <c r="S768" i="43" s="1"/>
  <c r="I767" i="43"/>
  <c r="K768" i="43"/>
  <c r="Q700" i="43"/>
  <c r="S700" i="43" s="1"/>
  <c r="K700" i="43"/>
  <c r="Q757" i="43"/>
  <c r="S757" i="43" s="1"/>
  <c r="I754" i="43"/>
  <c r="Q754" i="43" s="1"/>
  <c r="R1273" i="43"/>
  <c r="R1289" i="43"/>
  <c r="Q1105" i="43"/>
  <c r="S1105" i="43" s="1"/>
  <c r="I1102" i="43"/>
  <c r="Q1102" i="43" s="1"/>
  <c r="K1105" i="43"/>
  <c r="R1102" i="43"/>
  <c r="R1086" i="43"/>
  <c r="J1085" i="43"/>
  <c r="Q1079" i="43"/>
  <c r="S1079" i="43" s="1"/>
  <c r="I1078" i="43"/>
  <c r="K1078" i="43" s="1"/>
  <c r="Q1140" i="43"/>
  <c r="S1140" i="43" s="1"/>
  <c r="K1140" i="43"/>
  <c r="I1133" i="43"/>
  <c r="Q1136" i="43"/>
  <c r="S1136" i="43" s="1"/>
  <c r="K1136" i="43"/>
  <c r="Q1128" i="43"/>
  <c r="S1128" i="43" s="1"/>
  <c r="I1125" i="43"/>
  <c r="K1051" i="43"/>
  <c r="R1036" i="43"/>
  <c r="I1086" i="43"/>
  <c r="Q1089" i="43"/>
  <c r="S1089" i="43" s="1"/>
  <c r="K1089" i="43"/>
  <c r="R1059" i="43"/>
  <c r="K994" i="43"/>
  <c r="R994" i="43"/>
  <c r="S994" i="43" s="1"/>
  <c r="R951" i="43"/>
  <c r="N663" i="43"/>
  <c r="O672" i="43"/>
  <c r="Q618" i="43"/>
  <c r="S618" i="43" s="1"/>
  <c r="K618" i="43"/>
  <c r="K839" i="43"/>
  <c r="Q714" i="43"/>
  <c r="S714" i="43" s="1"/>
  <c r="K714" i="43"/>
  <c r="Q687" i="43"/>
  <c r="S687" i="43" s="1"/>
  <c r="K687" i="43"/>
  <c r="Q985" i="43"/>
  <c r="S985" i="43" s="1"/>
  <c r="K985" i="43"/>
  <c r="I982" i="43"/>
  <c r="R927" i="43"/>
  <c r="Q899" i="43"/>
  <c r="M875" i="43"/>
  <c r="R825" i="43"/>
  <c r="O825" i="43"/>
  <c r="N824" i="43"/>
  <c r="Q830" i="43"/>
  <c r="S830" i="43" s="1"/>
  <c r="I827" i="43"/>
  <c r="Q827" i="43" s="1"/>
  <c r="K684" i="43"/>
  <c r="R636" i="43"/>
  <c r="M693" i="43"/>
  <c r="Q694" i="43"/>
  <c r="M711" i="43"/>
  <c r="Q711" i="43" s="1"/>
  <c r="Q720" i="43"/>
  <c r="M802" i="43"/>
  <c r="Q824" i="43"/>
  <c r="Q782" i="43"/>
  <c r="S782" i="43" s="1"/>
  <c r="K782" i="43"/>
  <c r="N697" i="43"/>
  <c r="R706" i="43"/>
  <c r="R675" i="43"/>
  <c r="I1255" i="43"/>
  <c r="Q1267" i="43"/>
  <c r="S1267" i="43" s="1"/>
  <c r="K1267" i="43"/>
  <c r="I1332" i="43"/>
  <c r="R1066" i="43"/>
  <c r="Q1020" i="43"/>
  <c r="S1020" i="43" s="1"/>
  <c r="I1017" i="43"/>
  <c r="Q1017" i="43" s="1"/>
  <c r="Q1185" i="43"/>
  <c r="S1185" i="43" s="1"/>
  <c r="K1185" i="43"/>
  <c r="K1039" i="43"/>
  <c r="R1212" i="43"/>
  <c r="Q1046" i="43"/>
  <c r="S1046" i="43" s="1"/>
  <c r="I1043" i="43"/>
  <c r="Q1043" i="43" s="1"/>
  <c r="Q1197" i="43"/>
  <c r="S1197" i="43" s="1"/>
  <c r="K1197" i="43"/>
  <c r="K1026" i="43"/>
  <c r="R731" i="43"/>
  <c r="N723" i="43"/>
  <c r="O731" i="43"/>
  <c r="R654" i="43"/>
  <c r="R606" i="43"/>
  <c r="J601" i="43"/>
  <c r="J575" i="43" s="1"/>
  <c r="S941" i="43"/>
  <c r="Q917" i="43"/>
  <c r="S917" i="43" s="1"/>
  <c r="K917" i="43"/>
  <c r="K861" i="43"/>
  <c r="S839" i="43"/>
  <c r="K711" i="43"/>
  <c r="O694" i="43"/>
  <c r="N693" i="43"/>
  <c r="R694" i="43"/>
  <c r="R972" i="43"/>
  <c r="J971" i="43"/>
  <c r="Q954" i="43"/>
  <c r="S954" i="43" s="1"/>
  <c r="I951" i="43"/>
  <c r="Q951" i="43" s="1"/>
  <c r="K930" i="43"/>
  <c r="Q871" i="43"/>
  <c r="M847" i="43"/>
  <c r="I847" i="43"/>
  <c r="Q850" i="43"/>
  <c r="S850" i="43" s="1"/>
  <c r="R754" i="43"/>
  <c r="K648" i="43"/>
  <c r="Q648" i="43"/>
  <c r="S648" i="43" s="1"/>
  <c r="K639" i="43"/>
  <c r="R576" i="43"/>
  <c r="Q905" i="43"/>
  <c r="S905" i="43" s="1"/>
  <c r="I902" i="43"/>
  <c r="Q902" i="43" s="1"/>
  <c r="O633" i="43"/>
  <c r="N624" i="43"/>
  <c r="R633" i="43"/>
  <c r="S633" i="43" s="1"/>
  <c r="Q1062" i="43"/>
  <c r="S1062" i="43" s="1"/>
  <c r="I1059" i="43"/>
  <c r="Q1059" i="43" s="1"/>
  <c r="K1079" i="43"/>
  <c r="K1062" i="43"/>
  <c r="R1043" i="43"/>
  <c r="Q1205" i="43"/>
  <c r="S1205" i="43" s="1"/>
  <c r="K1205" i="43"/>
  <c r="Q1178" i="43"/>
  <c r="S1178" i="43" s="1"/>
  <c r="I1175" i="43"/>
  <c r="Q1004" i="43"/>
  <c r="S1004" i="43" s="1"/>
  <c r="K1004" i="43"/>
  <c r="I875" i="43"/>
  <c r="Q1029" i="43"/>
  <c r="S1029" i="43" s="1"/>
  <c r="K1029" i="43"/>
  <c r="S1026" i="43"/>
  <c r="Q973" i="43"/>
  <c r="S973" i="43" s="1"/>
  <c r="I972" i="43"/>
  <c r="K972" i="43" s="1"/>
  <c r="R779" i="43"/>
  <c r="J764" i="43"/>
  <c r="Q726" i="43"/>
  <c r="S726" i="43" s="1"/>
  <c r="I723" i="43"/>
  <c r="R599" i="43"/>
  <c r="O599" i="43"/>
  <c r="N598" i="43"/>
  <c r="R902" i="43"/>
  <c r="R872" i="43"/>
  <c r="S872" i="43" s="1"/>
  <c r="O872" i="43"/>
  <c r="N871" i="43"/>
  <c r="S861" i="43"/>
  <c r="Q805" i="43"/>
  <c r="S805" i="43" s="1"/>
  <c r="I802" i="43"/>
  <c r="K805" i="43"/>
  <c r="K792" i="43"/>
  <c r="O720" i="43"/>
  <c r="R720" i="43"/>
  <c r="N711" i="43"/>
  <c r="K1012" i="43"/>
  <c r="K1001" i="43"/>
  <c r="K973" i="43"/>
  <c r="R827" i="43"/>
  <c r="K757" i="43"/>
  <c r="I697" i="43"/>
  <c r="Q678" i="43"/>
  <c r="S678" i="43" s="1"/>
  <c r="I675" i="43"/>
  <c r="Q675" i="43" s="1"/>
  <c r="I615" i="43"/>
  <c r="Q889" i="43"/>
  <c r="S889" i="43" s="1"/>
  <c r="K889" i="43"/>
  <c r="Q591" i="43"/>
  <c r="S591" i="43" s="1"/>
  <c r="I588" i="43"/>
  <c r="K591" i="43"/>
  <c r="Q745" i="43"/>
  <c r="S745" i="43" s="1"/>
  <c r="I742" i="43"/>
  <c r="O709" i="43"/>
  <c r="I663" i="43"/>
  <c r="Q666" i="43"/>
  <c r="S666" i="43" s="1"/>
  <c r="K666" i="43"/>
  <c r="O454" i="43"/>
  <c r="N447" i="43"/>
  <c r="R447" i="43" s="1"/>
  <c r="R454" i="43"/>
  <c r="M458" i="43"/>
  <c r="Q461" i="43"/>
  <c r="S461" i="43" s="1"/>
  <c r="R458" i="43"/>
  <c r="N457" i="43"/>
  <c r="Q428" i="43"/>
  <c r="O461" i="43"/>
  <c r="K423" i="43"/>
  <c r="R423" i="43"/>
  <c r="S423" i="43" s="1"/>
  <c r="I447" i="43"/>
  <c r="Q448" i="43"/>
  <c r="S448" i="43" s="1"/>
  <c r="O480" i="43"/>
  <c r="J427" i="43"/>
  <c r="R341" i="43"/>
  <c r="O341" i="43"/>
  <c r="Q362" i="43"/>
  <c r="Q341" i="43"/>
  <c r="N317" i="43"/>
  <c r="R331" i="43"/>
  <c r="K317" i="43"/>
  <c r="R348" i="43"/>
  <c r="N338" i="43"/>
  <c r="J371" i="43"/>
  <c r="K377" i="43"/>
  <c r="R377" i="43"/>
  <c r="S377" i="43" s="1"/>
  <c r="K362" i="43"/>
  <c r="O365" i="43"/>
  <c r="N362" i="43"/>
  <c r="R365" i="43"/>
  <c r="S365" i="43" s="1"/>
  <c r="Q239" i="43"/>
  <c r="R249" i="43"/>
  <c r="K261" i="43"/>
  <c r="I260" i="43"/>
  <c r="Q261" i="43"/>
  <c r="S261" i="43" s="1"/>
  <c r="M213" i="43"/>
  <c r="Q253" i="43"/>
  <c r="S253" i="43" s="1"/>
  <c r="I250" i="43"/>
  <c r="K222" i="43"/>
  <c r="J219" i="43"/>
  <c r="R222" i="43"/>
  <c r="S222" i="43" s="1"/>
  <c r="R275" i="43"/>
  <c r="S275" i="43" s="1"/>
  <c r="R199" i="43"/>
  <c r="S199" i="43" s="1"/>
  <c r="N195" i="43"/>
  <c r="O195" i="43" s="1"/>
  <c r="O199" i="43"/>
  <c r="N114" i="43"/>
  <c r="K154" i="43"/>
  <c r="R154" i="43"/>
  <c r="S154" i="43" s="1"/>
  <c r="J134" i="43"/>
  <c r="Q122" i="43"/>
  <c r="S122" i="43" s="1"/>
  <c r="M118" i="43"/>
  <c r="K124" i="43"/>
  <c r="R124" i="43"/>
  <c r="Q175" i="43"/>
  <c r="S175" i="43" s="1"/>
  <c r="O175" i="43"/>
  <c r="O148" i="43"/>
  <c r="K195" i="43"/>
  <c r="I111" i="43"/>
  <c r="Q112" i="43"/>
  <c r="S112" i="43" s="1"/>
  <c r="Q190" i="43"/>
  <c r="S190" i="43" s="1"/>
  <c r="M189" i="43"/>
  <c r="O189" i="43" s="1"/>
  <c r="K135" i="43"/>
  <c r="I134" i="43"/>
  <c r="Q135" i="43"/>
  <c r="S135" i="43" s="1"/>
  <c r="J114" i="43"/>
  <c r="K115" i="43"/>
  <c r="R115" i="43"/>
  <c r="S115" i="43" s="1"/>
  <c r="Q171" i="43"/>
  <c r="S171" i="43" s="1"/>
  <c r="O171" i="43"/>
  <c r="M158" i="43"/>
  <c r="N182" i="43"/>
  <c r="R189" i="43"/>
  <c r="Q195" i="43"/>
  <c r="I177" i="43"/>
  <c r="K178" i="43"/>
  <c r="Q178" i="43"/>
  <c r="S178" i="43" s="1"/>
  <c r="R143" i="43"/>
  <c r="N134" i="43"/>
  <c r="O143" i="43"/>
  <c r="I130" i="43"/>
  <c r="Q131" i="43"/>
  <c r="S131" i="43" s="1"/>
  <c r="R118" i="43"/>
  <c r="I76" i="43"/>
  <c r="R89" i="43"/>
  <c r="S89" i="43" s="1"/>
  <c r="J86" i="43"/>
  <c r="K89" i="43"/>
  <c r="K81" i="43"/>
  <c r="R61" i="43"/>
  <c r="S61" i="43" s="1"/>
  <c r="K61" i="43"/>
  <c r="Q24" i="43"/>
  <c r="S24" i="43" s="1"/>
  <c r="Q46" i="43"/>
  <c r="S46" i="43" s="1"/>
  <c r="M45" i="43"/>
  <c r="Q12" i="43"/>
  <c r="S12" i="43" s="1"/>
  <c r="I11" i="43"/>
  <c r="I10" i="43" s="1"/>
  <c r="Q10" i="43" s="1"/>
  <c r="Q43" i="43"/>
  <c r="S43" i="43" s="1"/>
  <c r="K43" i="43"/>
  <c r="I42" i="43"/>
  <c r="K42" i="43" s="1"/>
  <c r="R37" i="43"/>
  <c r="N30" i="43"/>
  <c r="K24" i="43"/>
  <c r="R21" i="43"/>
  <c r="S21" i="43" s="1"/>
  <c r="K21" i="43"/>
  <c r="Q55" i="43"/>
  <c r="S55" i="43" s="1"/>
  <c r="K55" i="43"/>
  <c r="J10" i="43"/>
  <c r="R53" i="43"/>
  <c r="R45" i="43"/>
  <c r="N42" i="43"/>
  <c r="R42" i="43" s="1"/>
  <c r="I53" i="43"/>
  <c r="K53" i="43" s="1"/>
  <c r="O1624" i="43" l="1"/>
  <c r="S1066" i="43"/>
  <c r="K1273" i="43"/>
  <c r="K1109" i="43"/>
  <c r="K1674" i="43"/>
  <c r="S1938" i="43"/>
  <c r="K338" i="43"/>
  <c r="K1066" i="43"/>
  <c r="K348" i="43"/>
  <c r="K827" i="43"/>
  <c r="K1310" i="43"/>
  <c r="Q1514" i="43"/>
  <c r="S1514" i="43" s="1"/>
  <c r="Q37" i="43"/>
  <c r="K428" i="43"/>
  <c r="K576" i="43"/>
  <c r="Q1182" i="43"/>
  <c r="S1182" i="43" s="1"/>
  <c r="N1077" i="43"/>
  <c r="O158" i="43"/>
  <c r="K654" i="43"/>
  <c r="K1156" i="43"/>
  <c r="M1472" i="43"/>
  <c r="M1453" i="43" s="1"/>
  <c r="O1485" i="43"/>
  <c r="S1649" i="43"/>
  <c r="K1900" i="43"/>
  <c r="R260" i="43"/>
  <c r="O37" i="43"/>
  <c r="K275" i="43"/>
  <c r="Q723" i="43"/>
  <c r="O723" i="43"/>
  <c r="M134" i="43"/>
  <c r="O134" i="43" s="1"/>
  <c r="O260" i="43"/>
  <c r="S654" i="43"/>
  <c r="K1779" i="43"/>
  <c r="Q158" i="43"/>
  <c r="S158" i="43" s="1"/>
  <c r="Q447" i="43"/>
  <c r="S447" i="43" s="1"/>
  <c r="K754" i="43"/>
  <c r="K606" i="43"/>
  <c r="K158" i="43"/>
  <c r="K779" i="43"/>
  <c r="K1043" i="43"/>
  <c r="Q624" i="43"/>
  <c r="S1812" i="43"/>
  <c r="S1310" i="43"/>
  <c r="S731" i="43"/>
  <c r="S827" i="43"/>
  <c r="S694" i="43"/>
  <c r="S599" i="43"/>
  <c r="S754" i="43"/>
  <c r="J110" i="43"/>
  <c r="F7" i="15" s="1"/>
  <c r="O331" i="43"/>
  <c r="N1453" i="43"/>
  <c r="R1453" i="43" s="1"/>
  <c r="M1654" i="43"/>
  <c r="M1653" i="43" s="1"/>
  <c r="Q1653" i="43" s="1"/>
  <c r="M317" i="43"/>
  <c r="Q317" i="43" s="1"/>
  <c r="I316" i="43"/>
  <c r="E9" i="15" s="1"/>
  <c r="S825" i="43"/>
  <c r="O1454" i="43"/>
  <c r="Q1343" i="43"/>
  <c r="S1343" i="43" s="1"/>
  <c r="K1343" i="43"/>
  <c r="I427" i="43"/>
  <c r="K427" i="43" s="1"/>
  <c r="O1657" i="43"/>
  <c r="K927" i="43"/>
  <c r="M338" i="43"/>
  <c r="Q338" i="43" s="1"/>
  <c r="S454" i="43"/>
  <c r="S720" i="43"/>
  <c r="S927" i="43"/>
  <c r="S1059" i="43"/>
  <c r="S1036" i="43"/>
  <c r="K1371" i="43"/>
  <c r="K1932" i="43"/>
  <c r="O213" i="43"/>
  <c r="I8" i="15"/>
  <c r="R1332" i="43"/>
  <c r="J1326" i="43"/>
  <c r="R1326" i="43" s="1"/>
  <c r="M588" i="43"/>
  <c r="Q588" i="43" s="1"/>
  <c r="Q598" i="43"/>
  <c r="S902" i="43"/>
  <c r="S779" i="43"/>
  <c r="K636" i="43"/>
  <c r="S1273" i="43"/>
  <c r="K1017" i="43"/>
  <c r="S1779" i="43"/>
  <c r="Q124" i="43"/>
  <c r="S124" i="43" s="1"/>
  <c r="I1836" i="43"/>
  <c r="Q1836" i="43" s="1"/>
  <c r="Q1837" i="43"/>
  <c r="S1837" i="43" s="1"/>
  <c r="S951" i="43"/>
  <c r="S37" i="43"/>
  <c r="S1657" i="43"/>
  <c r="I1443" i="43"/>
  <c r="Q1443" i="43" s="1"/>
  <c r="Q1444" i="43"/>
  <c r="S1444" i="43" s="1"/>
  <c r="Q1408" i="43"/>
  <c r="S1408" i="43" s="1"/>
  <c r="M1405" i="43"/>
  <c r="O1405" i="43" s="1"/>
  <c r="S143" i="43"/>
  <c r="K239" i="43"/>
  <c r="S331" i="43"/>
  <c r="S1212" i="43"/>
  <c r="S675" i="43"/>
  <c r="M764" i="43"/>
  <c r="S1102" i="43"/>
  <c r="O1408" i="43"/>
  <c r="N1654" i="43"/>
  <c r="R1654" i="43" s="1"/>
  <c r="S240" i="43"/>
  <c r="Q1439" i="43"/>
  <c r="S1439" i="43" s="1"/>
  <c r="M1430" i="43"/>
  <c r="O1674" i="43"/>
  <c r="Q1704" i="43"/>
  <c r="S1704" i="43" s="1"/>
  <c r="I1703" i="43"/>
  <c r="K1704" i="43"/>
  <c r="Q1094" i="43"/>
  <c r="S1094" i="43" s="1"/>
  <c r="K1094" i="43"/>
  <c r="S428" i="43"/>
  <c r="K1102" i="43"/>
  <c r="Q1770" i="43"/>
  <c r="S1770" i="43" s="1"/>
  <c r="I1769" i="43"/>
  <c r="K1770" i="43"/>
  <c r="S239" i="43"/>
  <c r="K675" i="43"/>
  <c r="R723" i="43"/>
  <c r="K1059" i="43"/>
  <c r="O1430" i="43"/>
  <c r="S1485" i="43"/>
  <c r="S1674" i="43"/>
  <c r="N1613" i="43"/>
  <c r="S1892" i="43"/>
  <c r="I114" i="43"/>
  <c r="I110" i="43" s="1"/>
  <c r="K118" i="43"/>
  <c r="Q1413" i="43"/>
  <c r="S1413" i="43" s="1"/>
  <c r="I1405" i="43"/>
  <c r="Q1405" i="43" s="1"/>
  <c r="R899" i="43"/>
  <c r="S899" i="43" s="1"/>
  <c r="N875" i="43"/>
  <c r="R875" i="43" s="1"/>
  <c r="M1613" i="43"/>
  <c r="Q1617" i="43"/>
  <c r="S1617" i="43" s="1"/>
  <c r="Q1289" i="43"/>
  <c r="S1289" i="43" s="1"/>
  <c r="K1289" i="43"/>
  <c r="R1952" i="43"/>
  <c r="S1952" i="43" s="1"/>
  <c r="N1944" i="43"/>
  <c r="O1952" i="43"/>
  <c r="Q348" i="43"/>
  <c r="S348" i="43" s="1"/>
  <c r="M1931" i="43"/>
  <c r="Q1932" i="43"/>
  <c r="S1932" i="43" s="1"/>
  <c r="O1932" i="43"/>
  <c r="K1931" i="43"/>
  <c r="J1930" i="43"/>
  <c r="F16" i="15" s="1"/>
  <c r="Q1854" i="43"/>
  <c r="S1854" i="43" s="1"/>
  <c r="K1854" i="43"/>
  <c r="I1848" i="43"/>
  <c r="Q1803" i="43"/>
  <c r="I1802" i="43"/>
  <c r="S1889" i="43"/>
  <c r="O1803" i="43"/>
  <c r="N1802" i="43"/>
  <c r="R1802" i="43" s="1"/>
  <c r="K1803" i="43"/>
  <c r="R1825" i="43"/>
  <c r="O1880" i="43"/>
  <c r="R1880" i="43"/>
  <c r="N1879" i="43"/>
  <c r="Q1895" i="43"/>
  <c r="S1895" i="43" s="1"/>
  <c r="K1895" i="43"/>
  <c r="R1783" i="43"/>
  <c r="K1802" i="43"/>
  <c r="J1801" i="43"/>
  <c r="J1768" i="43" s="1"/>
  <c r="F15" i="15" s="1"/>
  <c r="M1863" i="43"/>
  <c r="Q1874" i="43"/>
  <c r="S1874" i="43" s="1"/>
  <c r="O1874" i="43"/>
  <c r="R1857" i="43"/>
  <c r="Q1816" i="43"/>
  <c r="S1816" i="43" s="1"/>
  <c r="I1815" i="43"/>
  <c r="K1816" i="43"/>
  <c r="K1892" i="43"/>
  <c r="K1826" i="43"/>
  <c r="Q1909" i="43"/>
  <c r="S1909" i="43" s="1"/>
  <c r="R1836" i="43"/>
  <c r="I1857" i="43"/>
  <c r="K1863" i="43"/>
  <c r="S1900" i="43"/>
  <c r="R1803" i="43"/>
  <c r="K1880" i="43"/>
  <c r="Q1880" i="43"/>
  <c r="I1879" i="43"/>
  <c r="I1783" i="43"/>
  <c r="Q1783" i="43" s="1"/>
  <c r="Q1784" i="43"/>
  <c r="S1784" i="43" s="1"/>
  <c r="S1826" i="43"/>
  <c r="Q1711" i="43"/>
  <c r="S1711" i="43" s="1"/>
  <c r="I1710" i="43"/>
  <c r="K1710" i="43" s="1"/>
  <c r="Q1624" i="43"/>
  <c r="I1613" i="43"/>
  <c r="K1699" i="43"/>
  <c r="R1624" i="43"/>
  <c r="K1624" i="43"/>
  <c r="J1613" i="43"/>
  <c r="J1612" i="43" s="1"/>
  <c r="F14" i="15" s="1"/>
  <c r="M1710" i="43"/>
  <c r="O1710" i="43" s="1"/>
  <c r="O1711" i="43"/>
  <c r="O1668" i="43"/>
  <c r="R1668" i="43"/>
  <c r="S1668" i="43" s="1"/>
  <c r="K1711" i="43"/>
  <c r="S1699" i="43"/>
  <c r="K1653" i="43"/>
  <c r="R1710" i="43"/>
  <c r="Q1548" i="43"/>
  <c r="S1548" i="43" s="1"/>
  <c r="M1541" i="43"/>
  <c r="O1541" i="43" s="1"/>
  <c r="N1513" i="43"/>
  <c r="J13" i="15" s="1"/>
  <c r="R1541" i="43"/>
  <c r="K1536" i="43"/>
  <c r="Q1536" i="43"/>
  <c r="S1536" i="43" s="1"/>
  <c r="I1513" i="43"/>
  <c r="E13" i="15" s="1"/>
  <c r="R1405" i="43"/>
  <c r="R1424" i="43"/>
  <c r="S1424" i="43" s="1"/>
  <c r="O1424" i="43"/>
  <c r="N1423" i="43"/>
  <c r="Q1454" i="43"/>
  <c r="S1454" i="43" s="1"/>
  <c r="R1443" i="43"/>
  <c r="K1443" i="43"/>
  <c r="I1453" i="43"/>
  <c r="K1472" i="43"/>
  <c r="R1430" i="43"/>
  <c r="J1423" i="43"/>
  <c r="J1392" i="43" s="1"/>
  <c r="K1430" i="43"/>
  <c r="R1472" i="43"/>
  <c r="Q1397" i="43"/>
  <c r="S1397" i="43" s="1"/>
  <c r="K1397" i="43"/>
  <c r="K742" i="43"/>
  <c r="Q742" i="43"/>
  <c r="S742" i="43" s="1"/>
  <c r="K697" i="43"/>
  <c r="O711" i="43"/>
  <c r="R711" i="43"/>
  <c r="S711" i="43" s="1"/>
  <c r="O871" i="43"/>
  <c r="R871" i="43"/>
  <c r="S871" i="43" s="1"/>
  <c r="N847" i="43"/>
  <c r="Q875" i="43"/>
  <c r="K875" i="43"/>
  <c r="R693" i="43"/>
  <c r="O693" i="43"/>
  <c r="N684" i="43"/>
  <c r="N601" i="43" s="1"/>
  <c r="Q1332" i="43"/>
  <c r="K1332" i="43"/>
  <c r="I1326" i="43"/>
  <c r="Q615" i="43"/>
  <c r="S615" i="43" s="1"/>
  <c r="K615" i="43"/>
  <c r="K802" i="43"/>
  <c r="Q802" i="43"/>
  <c r="R971" i="43"/>
  <c r="M684" i="43"/>
  <c r="Q693" i="43"/>
  <c r="Q982" i="43"/>
  <c r="S982" i="43" s="1"/>
  <c r="K982" i="43"/>
  <c r="I1085" i="43"/>
  <c r="Q1085" i="43" s="1"/>
  <c r="Q1086" i="43"/>
  <c r="S1086" i="43" s="1"/>
  <c r="Q1125" i="43"/>
  <c r="S1125" i="43" s="1"/>
  <c r="K1125" i="43"/>
  <c r="Q1133" i="43"/>
  <c r="S1133" i="43" s="1"/>
  <c r="K1133" i="43"/>
  <c r="Q663" i="43"/>
  <c r="K663" i="43"/>
  <c r="R598" i="43"/>
  <c r="S598" i="43" s="1"/>
  <c r="N588" i="43"/>
  <c r="O598" i="43"/>
  <c r="O624" i="43"/>
  <c r="R624" i="43"/>
  <c r="S624" i="43" s="1"/>
  <c r="Q847" i="43"/>
  <c r="K847" i="43"/>
  <c r="O824" i="43"/>
  <c r="R824" i="43"/>
  <c r="S824" i="43" s="1"/>
  <c r="N802" i="43"/>
  <c r="K951" i="43"/>
  <c r="K1086" i="43"/>
  <c r="Q1009" i="43"/>
  <c r="S1009" i="43" s="1"/>
  <c r="K1009" i="43"/>
  <c r="K588" i="43"/>
  <c r="K902" i="43"/>
  <c r="I971" i="43"/>
  <c r="Q971" i="43" s="1"/>
  <c r="Q972" i="43"/>
  <c r="S972" i="43" s="1"/>
  <c r="Q1175" i="43"/>
  <c r="S1175" i="43" s="1"/>
  <c r="K1175" i="43"/>
  <c r="S1043" i="43"/>
  <c r="S576" i="43"/>
  <c r="S606" i="43"/>
  <c r="K1212" i="43"/>
  <c r="Q1255" i="43"/>
  <c r="S1255" i="43" s="1"/>
  <c r="K1255" i="43"/>
  <c r="R697" i="43"/>
  <c r="K723" i="43"/>
  <c r="K1036" i="43"/>
  <c r="R1085" i="43"/>
  <c r="Q1148" i="43"/>
  <c r="S1148" i="43" s="1"/>
  <c r="K1148" i="43"/>
  <c r="Q1252" i="43"/>
  <c r="S1252" i="43" s="1"/>
  <c r="M1235" i="43"/>
  <c r="O1252" i="43"/>
  <c r="S636" i="43"/>
  <c r="O663" i="43"/>
  <c r="R663" i="43"/>
  <c r="Q1078" i="43"/>
  <c r="S1078" i="43" s="1"/>
  <c r="I601" i="43"/>
  <c r="I575" i="43" s="1"/>
  <c r="Q767" i="43"/>
  <c r="S767" i="43" s="1"/>
  <c r="K767" i="43"/>
  <c r="I764" i="43"/>
  <c r="K764" i="43" s="1"/>
  <c r="Q706" i="43"/>
  <c r="S706" i="43" s="1"/>
  <c r="M697" i="43"/>
  <c r="O697" i="43" s="1"/>
  <c r="S1017" i="43"/>
  <c r="J1077" i="43"/>
  <c r="Q1117" i="43"/>
  <c r="S1117" i="43" s="1"/>
  <c r="K1117" i="43"/>
  <c r="R457" i="43"/>
  <c r="M457" i="43"/>
  <c r="Q458" i="43"/>
  <c r="S458" i="43" s="1"/>
  <c r="J422" i="43"/>
  <c r="F10" i="15" s="1"/>
  <c r="I422" i="43"/>
  <c r="E10" i="15" s="1"/>
  <c r="O458" i="43"/>
  <c r="O447" i="43"/>
  <c r="N427" i="43"/>
  <c r="R427" i="43" s="1"/>
  <c r="K447" i="43"/>
  <c r="R371" i="43"/>
  <c r="S371" i="43" s="1"/>
  <c r="J316" i="43"/>
  <c r="F9" i="15" s="1"/>
  <c r="K371" i="43"/>
  <c r="R338" i="43"/>
  <c r="N316" i="43"/>
  <c r="O362" i="43"/>
  <c r="R362" i="43"/>
  <c r="S362" i="43" s="1"/>
  <c r="R317" i="43"/>
  <c r="S341" i="43"/>
  <c r="K219" i="43"/>
  <c r="R219" i="43"/>
  <c r="S219" i="43" s="1"/>
  <c r="Q260" i="43"/>
  <c r="K260" i="43"/>
  <c r="Q250" i="43"/>
  <c r="S250" i="43" s="1"/>
  <c r="I249" i="43"/>
  <c r="I213" i="43" s="1"/>
  <c r="K250" i="43"/>
  <c r="J213" i="43"/>
  <c r="F8" i="15" s="1"/>
  <c r="R182" i="43"/>
  <c r="Q111" i="43"/>
  <c r="S111" i="43" s="1"/>
  <c r="K111" i="43"/>
  <c r="Q130" i="43"/>
  <c r="S130" i="43" s="1"/>
  <c r="K130" i="43"/>
  <c r="Q189" i="43"/>
  <c r="S189" i="43" s="1"/>
  <c r="M182" i="43"/>
  <c r="Q182" i="43" s="1"/>
  <c r="M114" i="43"/>
  <c r="Q118" i="43"/>
  <c r="S118" i="43" s="1"/>
  <c r="O118" i="43"/>
  <c r="Q177" i="43"/>
  <c r="S177" i="43" s="1"/>
  <c r="K177" i="43"/>
  <c r="R114" i="43"/>
  <c r="R195" i="43"/>
  <c r="S195" i="43" s="1"/>
  <c r="R134" i="43"/>
  <c r="K134" i="43"/>
  <c r="N110" i="43"/>
  <c r="J7" i="15" s="1"/>
  <c r="R86" i="43"/>
  <c r="S86" i="43" s="1"/>
  <c r="J75" i="43"/>
  <c r="F6" i="15" s="1"/>
  <c r="K86" i="43"/>
  <c r="Q76" i="43"/>
  <c r="S76" i="43" s="1"/>
  <c r="K76" i="43"/>
  <c r="I75" i="43"/>
  <c r="O30" i="43"/>
  <c r="N9" i="43"/>
  <c r="J5" i="15" s="1"/>
  <c r="R10" i="43"/>
  <c r="S10" i="43" s="1"/>
  <c r="K10" i="43"/>
  <c r="Q11" i="43"/>
  <c r="S11" i="43" s="1"/>
  <c r="K11" i="43"/>
  <c r="R30" i="43"/>
  <c r="Q45" i="43"/>
  <c r="S45" i="43" s="1"/>
  <c r="M42" i="43"/>
  <c r="O42" i="43" s="1"/>
  <c r="O45" i="43"/>
  <c r="I9" i="43"/>
  <c r="E5" i="15" s="1"/>
  <c r="Q53" i="43"/>
  <c r="S53" i="43" s="1"/>
  <c r="J9" i="43"/>
  <c r="F5" i="15" s="1"/>
  <c r="Q30" i="43"/>
  <c r="G356" i="13"/>
  <c r="K1836" i="43" l="1"/>
  <c r="Q134" i="43"/>
  <c r="S260" i="43"/>
  <c r="O317" i="43"/>
  <c r="Q1654" i="43"/>
  <c r="S723" i="43"/>
  <c r="O1472" i="43"/>
  <c r="Q1472" i="43"/>
  <c r="S1472" i="43" s="1"/>
  <c r="S338" i="43"/>
  <c r="S875" i="43"/>
  <c r="S1443" i="43"/>
  <c r="N7" i="15"/>
  <c r="S317" i="43"/>
  <c r="S1332" i="43"/>
  <c r="Q427" i="43"/>
  <c r="S427" i="43" s="1"/>
  <c r="O1613" i="43"/>
  <c r="M316" i="43"/>
  <c r="Q213" i="43"/>
  <c r="E8" i="15"/>
  <c r="K1085" i="43"/>
  <c r="S1654" i="43"/>
  <c r="Q75" i="43"/>
  <c r="E6" i="15"/>
  <c r="I1077" i="43"/>
  <c r="K1077" i="43" s="1"/>
  <c r="S1085" i="43"/>
  <c r="I1392" i="43"/>
  <c r="K1392" i="43" s="1"/>
  <c r="S1405" i="43"/>
  <c r="S1803" i="43"/>
  <c r="O316" i="43"/>
  <c r="J9" i="15"/>
  <c r="K1405" i="43"/>
  <c r="Q1613" i="43"/>
  <c r="S1836" i="43"/>
  <c r="K110" i="43"/>
  <c r="E7" i="15"/>
  <c r="O875" i="43"/>
  <c r="O338" i="43"/>
  <c r="R1944" i="43"/>
  <c r="S1944" i="43" s="1"/>
  <c r="O1944" i="43"/>
  <c r="Q1769" i="43"/>
  <c r="S1769" i="43" s="1"/>
  <c r="K1769" i="43"/>
  <c r="K114" i="43"/>
  <c r="Q1430" i="43"/>
  <c r="S1430" i="43" s="1"/>
  <c r="M1423" i="43"/>
  <c r="Q1423" i="43" s="1"/>
  <c r="S693" i="43"/>
  <c r="N1392" i="43"/>
  <c r="N1366" i="43" s="1"/>
  <c r="J12" i="15" s="1"/>
  <c r="O1654" i="43"/>
  <c r="K1783" i="43"/>
  <c r="N1931" i="43"/>
  <c r="Q1703" i="43"/>
  <c r="S1703" i="43" s="1"/>
  <c r="K1703" i="43"/>
  <c r="S134" i="43"/>
  <c r="N1653" i="43"/>
  <c r="K1930" i="43"/>
  <c r="M1930" i="43"/>
  <c r="I16" i="15" s="1"/>
  <c r="Q1931" i="43"/>
  <c r="M1857" i="43"/>
  <c r="Q1857" i="43" s="1"/>
  <c r="S1857" i="43" s="1"/>
  <c r="O1863" i="43"/>
  <c r="O1879" i="43"/>
  <c r="R1879" i="43"/>
  <c r="S1783" i="43"/>
  <c r="S1880" i="43"/>
  <c r="I1825" i="43"/>
  <c r="Q1848" i="43"/>
  <c r="S1848" i="43" s="1"/>
  <c r="K1848" i="43"/>
  <c r="K1857" i="43"/>
  <c r="Q1815" i="43"/>
  <c r="S1815" i="43" s="1"/>
  <c r="K1815" i="43"/>
  <c r="N1801" i="43"/>
  <c r="O1802" i="43"/>
  <c r="Q1802" i="43"/>
  <c r="S1802" i="43" s="1"/>
  <c r="I1801" i="43"/>
  <c r="Q1801" i="43" s="1"/>
  <c r="Q1879" i="43"/>
  <c r="K1879" i="43"/>
  <c r="Q1863" i="43"/>
  <c r="S1863" i="43" s="1"/>
  <c r="R1613" i="43"/>
  <c r="K1613" i="43"/>
  <c r="Q1710" i="43"/>
  <c r="S1710" i="43" s="1"/>
  <c r="I1612" i="43"/>
  <c r="E14" i="15" s="1"/>
  <c r="S1624" i="43"/>
  <c r="M1612" i="43"/>
  <c r="I14" i="15" s="1"/>
  <c r="K1513" i="43"/>
  <c r="M1513" i="43"/>
  <c r="Q1541" i="43"/>
  <c r="S1541" i="43" s="1"/>
  <c r="R1513" i="43"/>
  <c r="J1366" i="43"/>
  <c r="F12" i="15" s="1"/>
  <c r="O1453" i="43"/>
  <c r="Q1453" i="43"/>
  <c r="S1453" i="43" s="1"/>
  <c r="K1453" i="43"/>
  <c r="I1366" i="43"/>
  <c r="E12" i="15" s="1"/>
  <c r="K1423" i="43"/>
  <c r="R1423" i="43"/>
  <c r="M1077" i="43"/>
  <c r="O1235" i="43"/>
  <c r="Q1235" i="43"/>
  <c r="S1235" i="43" s="1"/>
  <c r="O802" i="43"/>
  <c r="N764" i="43"/>
  <c r="R802" i="43"/>
  <c r="S802" i="43" s="1"/>
  <c r="N575" i="43"/>
  <c r="O588" i="43"/>
  <c r="R588" i="43"/>
  <c r="S588" i="43" s="1"/>
  <c r="K971" i="43"/>
  <c r="Q697" i="43"/>
  <c r="S697" i="43" s="1"/>
  <c r="S663" i="43"/>
  <c r="K601" i="43"/>
  <c r="S971" i="43"/>
  <c r="O684" i="43"/>
  <c r="R684" i="43"/>
  <c r="R1077" i="43"/>
  <c r="Q764" i="43"/>
  <c r="I574" i="43"/>
  <c r="E11" i="15" s="1"/>
  <c r="J574" i="43"/>
  <c r="F11" i="15" s="1"/>
  <c r="R601" i="43"/>
  <c r="K575" i="43"/>
  <c r="M601" i="43"/>
  <c r="M575" i="43" s="1"/>
  <c r="Q575" i="43" s="1"/>
  <c r="Q684" i="43"/>
  <c r="Q1326" i="43"/>
  <c r="S1326" i="43" s="1"/>
  <c r="K1326" i="43"/>
  <c r="O847" i="43"/>
  <c r="R847" i="43"/>
  <c r="S847" i="43" s="1"/>
  <c r="K422" i="43"/>
  <c r="Q457" i="43"/>
  <c r="S457" i="43" s="1"/>
  <c r="M422" i="43"/>
  <c r="O457" i="43"/>
  <c r="O427" i="43"/>
  <c r="N422" i="43"/>
  <c r="J10" i="15" s="1"/>
  <c r="R316" i="43"/>
  <c r="K316" i="43"/>
  <c r="Q249" i="43"/>
  <c r="S249" i="43" s="1"/>
  <c r="K249" i="43"/>
  <c r="R213" i="43"/>
  <c r="K213" i="43"/>
  <c r="M110" i="43"/>
  <c r="I7" i="15" s="1"/>
  <c r="Q114" i="43"/>
  <c r="S114" i="43" s="1"/>
  <c r="O114" i="43"/>
  <c r="S182" i="43"/>
  <c r="R110" i="43"/>
  <c r="O182" i="43"/>
  <c r="R75" i="43"/>
  <c r="K75" i="43"/>
  <c r="Q42" i="43"/>
  <c r="S42" i="43" s="1"/>
  <c r="M9" i="43"/>
  <c r="I5" i="15" s="1"/>
  <c r="R9" i="43"/>
  <c r="K9" i="43"/>
  <c r="S30" i="43"/>
  <c r="H27" i="13"/>
  <c r="R1392" i="43" l="1"/>
  <c r="I1768" i="43"/>
  <c r="E15" i="15" s="1"/>
  <c r="Q9" i="43"/>
  <c r="S1613" i="43"/>
  <c r="S75" i="43"/>
  <c r="S213" i="43"/>
  <c r="I9" i="15"/>
  <c r="Q316" i="43"/>
  <c r="S316" i="43" s="1"/>
  <c r="O110" i="43"/>
  <c r="Q110" i="43"/>
  <c r="S110" i="43" s="1"/>
  <c r="Q422" i="43"/>
  <c r="I10" i="15"/>
  <c r="S1423" i="43"/>
  <c r="O9" i="43"/>
  <c r="Q1513" i="43"/>
  <c r="S1513" i="43" s="1"/>
  <c r="I13" i="15"/>
  <c r="N1930" i="43"/>
  <c r="R1931" i="43"/>
  <c r="S1931" i="43" s="1"/>
  <c r="O1931" i="43"/>
  <c r="S1879" i="43"/>
  <c r="O422" i="43"/>
  <c r="Q601" i="43"/>
  <c r="S601" i="43" s="1"/>
  <c r="O1513" i="43"/>
  <c r="M1392" i="43"/>
  <c r="O1653" i="43"/>
  <c r="N1612" i="43"/>
  <c r="J14" i="15" s="1"/>
  <c r="R1653" i="43"/>
  <c r="S1653" i="43" s="1"/>
  <c r="O1423" i="43"/>
  <c r="Q1930" i="43"/>
  <c r="K1768" i="43"/>
  <c r="K1801" i="43"/>
  <c r="N1768" i="43"/>
  <c r="J15" i="15" s="1"/>
  <c r="O1801" i="43"/>
  <c r="Q1825" i="43"/>
  <c r="S1825" i="43" s="1"/>
  <c r="K1825" i="43"/>
  <c r="R1801" i="43"/>
  <c r="S1801" i="43" s="1"/>
  <c r="M1768" i="43"/>
  <c r="O1857" i="43"/>
  <c r="Q1612" i="43"/>
  <c r="K1612" i="43"/>
  <c r="R1366" i="43"/>
  <c r="K1366" i="43"/>
  <c r="K574" i="43"/>
  <c r="O601" i="43"/>
  <c r="O575" i="43"/>
  <c r="R575" i="43"/>
  <c r="S575" i="43" s="1"/>
  <c r="M574" i="43"/>
  <c r="O1077" i="43"/>
  <c r="O764" i="43"/>
  <c r="N574" i="43"/>
  <c r="J11" i="15" s="1"/>
  <c r="R764" i="43"/>
  <c r="S764" i="43" s="1"/>
  <c r="S684" i="43"/>
  <c r="Q1077" i="43"/>
  <c r="S1077" i="43" s="1"/>
  <c r="R422" i="43"/>
  <c r="S9" i="43"/>
  <c r="S422" i="43" l="1"/>
  <c r="R1930" i="43"/>
  <c r="S1930" i="43" s="1"/>
  <c r="J16" i="15"/>
  <c r="Q1768" i="43"/>
  <c r="I15" i="15"/>
  <c r="Q574" i="43"/>
  <c r="I11" i="15"/>
  <c r="O1930" i="43"/>
  <c r="Q1392" i="43"/>
  <c r="S1392" i="43" s="1"/>
  <c r="M1366" i="43"/>
  <c r="I12" i="15" s="1"/>
  <c r="O1392" i="43"/>
  <c r="O1612" i="43"/>
  <c r="R1612" i="43"/>
  <c r="S1612" i="43" s="1"/>
  <c r="O574" i="43"/>
  <c r="O1768" i="43"/>
  <c r="R1768" i="43"/>
  <c r="R574" i="43"/>
  <c r="S1768" i="43" l="1"/>
  <c r="S574" i="43"/>
  <c r="O1366" i="43"/>
  <c r="Q1366" i="43"/>
  <c r="S1366" i="43" s="1"/>
  <c r="H329" i="13" l="1"/>
  <c r="H230" i="13"/>
  <c r="H494" i="13"/>
  <c r="H521" i="13" l="1"/>
  <c r="H525" i="13"/>
  <c r="H418" i="13" l="1"/>
  <c r="N22" i="15"/>
  <c r="H135" i="13"/>
  <c r="G135" i="13"/>
  <c r="G134" i="13" s="1"/>
  <c r="H134" i="13" l="1"/>
  <c r="H236" i="13"/>
  <c r="H233" i="13"/>
  <c r="H232" i="13" s="1"/>
  <c r="G233" i="13"/>
  <c r="G232" i="13" s="1"/>
  <c r="H70" i="13" l="1"/>
  <c r="H65" i="13"/>
  <c r="H64" i="13" s="1"/>
  <c r="H122" i="13"/>
  <c r="H97" i="13"/>
  <c r="H81" i="13"/>
  <c r="G64" i="13"/>
  <c r="H59" i="13"/>
  <c r="G59" i="13"/>
  <c r="G58" i="13" s="1"/>
  <c r="H58" i="13" l="1"/>
  <c r="H92" i="13"/>
  <c r="H119" i="13"/>
  <c r="N49" i="15" l="1"/>
  <c r="N47" i="15"/>
  <c r="N44" i="15" l="1"/>
  <c r="H35" i="13" l="1"/>
  <c r="H36" i="13" s="1"/>
  <c r="H25" i="13"/>
  <c r="H518" i="13"/>
  <c r="H517" i="13"/>
  <c r="H447" i="13"/>
  <c r="H431" i="13"/>
  <c r="H432" i="13"/>
  <c r="H443" i="13"/>
  <c r="H49" i="13"/>
  <c r="H34" i="13" l="1"/>
  <c r="O51" i="15"/>
  <c r="O50" i="15"/>
  <c r="O49" i="15"/>
  <c r="O48" i="15"/>
  <c r="O46" i="15"/>
  <c r="O45" i="15"/>
  <c r="O35" i="15"/>
  <c r="O30" i="15"/>
  <c r="O29" i="15"/>
  <c r="O28" i="15"/>
  <c r="I513" i="13" l="1"/>
  <c r="I514" i="13"/>
  <c r="I517" i="13"/>
  <c r="I518" i="13"/>
  <c r="I519" i="13"/>
  <c r="I520" i="13"/>
  <c r="I521" i="13"/>
  <c r="I522" i="13"/>
  <c r="I523" i="13"/>
  <c r="I525" i="13"/>
  <c r="I526" i="13"/>
  <c r="I527" i="13"/>
  <c r="I528" i="13"/>
  <c r="I529" i="13"/>
  <c r="I530" i="13"/>
  <c r="I531" i="13"/>
  <c r="I532" i="13"/>
  <c r="I535" i="13"/>
  <c r="I14" i="13"/>
  <c r="I15" i="13"/>
  <c r="I18" i="13"/>
  <c r="I19" i="13"/>
  <c r="I20" i="13"/>
  <c r="I21" i="13"/>
  <c r="I26" i="13"/>
  <c r="I30" i="13"/>
  <c r="I31" i="13"/>
  <c r="I33" i="13"/>
  <c r="I37" i="13"/>
  <c r="I40" i="13"/>
  <c r="I43" i="13"/>
  <c r="I46" i="13"/>
  <c r="I47" i="13"/>
  <c r="I48" i="13"/>
  <c r="I49" i="13"/>
  <c r="I56" i="13"/>
  <c r="I63" i="13"/>
  <c r="I68" i="13"/>
  <c r="I72" i="13"/>
  <c r="I73" i="13"/>
  <c r="I74" i="13"/>
  <c r="I78" i="13"/>
  <c r="I81" i="13"/>
  <c r="I85" i="13"/>
  <c r="I86" i="13"/>
  <c r="I89" i="13"/>
  <c r="I101" i="13"/>
  <c r="I104" i="13"/>
  <c r="I108" i="13"/>
  <c r="I112" i="13"/>
  <c r="I115" i="13"/>
  <c r="I119" i="13"/>
  <c r="I122" i="13"/>
  <c r="I126" i="13"/>
  <c r="I129" i="13"/>
  <c r="I133" i="13"/>
  <c r="I141" i="13"/>
  <c r="I142" i="13"/>
  <c r="I146" i="13"/>
  <c r="I147" i="13"/>
  <c r="I151" i="13"/>
  <c r="I152" i="13"/>
  <c r="I156" i="13"/>
  <c r="I157" i="13"/>
  <c r="I161" i="13"/>
  <c r="I162" i="13"/>
  <c r="I166" i="13"/>
  <c r="I167" i="13"/>
  <c r="I171" i="13"/>
  <c r="I172" i="13"/>
  <c r="I176" i="13"/>
  <c r="I177" i="13"/>
  <c r="I182" i="13"/>
  <c r="I183" i="13"/>
  <c r="I187" i="13"/>
  <c r="I188" i="13"/>
  <c r="I192" i="13"/>
  <c r="I193" i="13"/>
  <c r="I197" i="13"/>
  <c r="I198" i="13"/>
  <c r="I202" i="13"/>
  <c r="I203" i="13"/>
  <c r="I207" i="13"/>
  <c r="I211" i="13"/>
  <c r="I215" i="13"/>
  <c r="I219" i="13"/>
  <c r="I220" i="13"/>
  <c r="I224" i="13"/>
  <c r="I227" i="13"/>
  <c r="I230" i="13"/>
  <c r="I237" i="13"/>
  <c r="I238" i="13"/>
  <c r="I243" i="13"/>
  <c r="I244" i="13"/>
  <c r="I245" i="13"/>
  <c r="I249" i="13"/>
  <c r="I253" i="13"/>
  <c r="I257" i="13"/>
  <c r="I261" i="13"/>
  <c r="I264" i="13"/>
  <c r="I268" i="13"/>
  <c r="I271" i="13"/>
  <c r="I272" i="13"/>
  <c r="I276" i="13"/>
  <c r="I279" i="13"/>
  <c r="I280" i="13"/>
  <c r="I281" i="13"/>
  <c r="I285" i="13"/>
  <c r="I286" i="13"/>
  <c r="I287" i="13"/>
  <c r="I291" i="13"/>
  <c r="I292" i="13"/>
  <c r="I293" i="13"/>
  <c r="I297" i="13"/>
  <c r="I298" i="13"/>
  <c r="I302" i="13"/>
  <c r="I306" i="13"/>
  <c r="I311" i="13"/>
  <c r="I314" i="13"/>
  <c r="I317" i="13"/>
  <c r="I318" i="13"/>
  <c r="I322" i="13"/>
  <c r="I325" i="13"/>
  <c r="I327" i="13"/>
  <c r="I331" i="13"/>
  <c r="I335" i="13"/>
  <c r="I338" i="13"/>
  <c r="I341" i="13"/>
  <c r="I344" i="13"/>
  <c r="I348" i="13"/>
  <c r="I351" i="13"/>
  <c r="I352" i="13"/>
  <c r="I353" i="13"/>
  <c r="I356" i="13"/>
  <c r="I360" i="13"/>
  <c r="I363" i="13"/>
  <c r="I368" i="13"/>
  <c r="I372" i="13"/>
  <c r="I375" i="13"/>
  <c r="I380" i="13"/>
  <c r="I383" i="13"/>
  <c r="I387" i="13"/>
  <c r="I390" i="13"/>
  <c r="I391" i="13"/>
  <c r="I394" i="13"/>
  <c r="I398" i="13"/>
  <c r="I401" i="13"/>
  <c r="I403" i="13"/>
  <c r="I406" i="13"/>
  <c r="I410" i="13"/>
  <c r="I413" i="13"/>
  <c r="I416" i="13"/>
  <c r="I420" i="13"/>
  <c r="I424" i="13"/>
  <c r="I425" i="13"/>
  <c r="I430" i="13"/>
  <c r="I433" i="13"/>
  <c r="I436" i="13"/>
  <c r="I437" i="13"/>
  <c r="I438" i="13"/>
  <c r="I439" i="13"/>
  <c r="I440" i="13"/>
  <c r="I441" i="13"/>
  <c r="I442" i="13"/>
  <c r="I444" i="13"/>
  <c r="I445" i="13"/>
  <c r="I450" i="13"/>
  <c r="I453" i="13"/>
  <c r="I454" i="13"/>
  <c r="I463" i="13"/>
  <c r="I466" i="13"/>
  <c r="I475" i="13"/>
  <c r="I481" i="13"/>
  <c r="I482" i="13"/>
  <c r="I496" i="13"/>
  <c r="I13" i="13"/>
  <c r="H506" i="13"/>
  <c r="H508" i="13"/>
  <c r="H516" i="13"/>
  <c r="H515" i="13" s="1"/>
  <c r="H512" i="13" s="1"/>
  <c r="H511" i="13" s="1"/>
  <c r="H534" i="13"/>
  <c r="H533" i="13" s="1"/>
  <c r="H9" i="13"/>
  <c r="H8" i="13" s="1"/>
  <c r="H12" i="13"/>
  <c r="H11" i="13" s="1"/>
  <c r="H17" i="13"/>
  <c r="H16" i="13" s="1"/>
  <c r="H24" i="13"/>
  <c r="H29" i="13"/>
  <c r="H32" i="13"/>
  <c r="H39" i="13"/>
  <c r="H42" i="13"/>
  <c r="H45" i="13"/>
  <c r="H44" i="13" s="1"/>
  <c r="H52" i="13"/>
  <c r="H51" i="13" s="1"/>
  <c r="H55" i="13"/>
  <c r="H54" i="13" s="1"/>
  <c r="H62" i="13"/>
  <c r="H61" i="13" s="1"/>
  <c r="H67" i="13"/>
  <c r="H66" i="13" s="1"/>
  <c r="H69" i="13"/>
  <c r="H77" i="13"/>
  <c r="H76" i="13" s="1"/>
  <c r="H80" i="13"/>
  <c r="H79" i="13" s="1"/>
  <c r="H84" i="13"/>
  <c r="H83" i="13" s="1"/>
  <c r="H88" i="13"/>
  <c r="H91" i="13"/>
  <c r="H96" i="13"/>
  <c r="H95" i="13" s="1"/>
  <c r="H100" i="13"/>
  <c r="H99" i="13" s="1"/>
  <c r="H103" i="13"/>
  <c r="H107" i="13"/>
  <c r="H111" i="13"/>
  <c r="H110" i="13" s="1"/>
  <c r="H114" i="13"/>
  <c r="H118" i="13"/>
  <c r="H117" i="13" s="1"/>
  <c r="H121" i="13"/>
  <c r="H120" i="13" s="1"/>
  <c r="H125" i="13"/>
  <c r="H124" i="13" s="1"/>
  <c r="H128" i="13"/>
  <c r="H127" i="13" s="1"/>
  <c r="H132" i="13"/>
  <c r="H131" i="13" s="1"/>
  <c r="H130" i="13" s="1"/>
  <c r="H140" i="13"/>
  <c r="H139" i="13" s="1"/>
  <c r="H138" i="13" s="1"/>
  <c r="H145" i="13"/>
  <c r="H150" i="13"/>
  <c r="H149" i="13" s="1"/>
  <c r="H155" i="13"/>
  <c r="H154" i="13" s="1"/>
  <c r="H153" i="13" s="1"/>
  <c r="H160" i="13"/>
  <c r="H159" i="13" s="1"/>
  <c r="H158" i="13" s="1"/>
  <c r="H165" i="13"/>
  <c r="H164" i="13" s="1"/>
  <c r="H163" i="13" s="1"/>
  <c r="H170" i="13"/>
  <c r="H175" i="13"/>
  <c r="H174" i="13" s="1"/>
  <c r="H173" i="13" s="1"/>
  <c r="H180" i="13"/>
  <c r="H179" i="13" s="1"/>
  <c r="H178" i="13" s="1"/>
  <c r="H186" i="13"/>
  <c r="H185" i="13" s="1"/>
  <c r="H184" i="13" s="1"/>
  <c r="H191" i="13"/>
  <c r="H196" i="13"/>
  <c r="H195" i="13" s="1"/>
  <c r="H194" i="13" s="1"/>
  <c r="H201" i="13"/>
  <c r="H200" i="13" s="1"/>
  <c r="H199" i="13" s="1"/>
  <c r="H206" i="13"/>
  <c r="H205" i="13" s="1"/>
  <c r="H204" i="13" s="1"/>
  <c r="H210" i="13"/>
  <c r="H209" i="13" s="1"/>
  <c r="H208" i="13" s="1"/>
  <c r="H214" i="13"/>
  <c r="H213" i="13" s="1"/>
  <c r="H218" i="13"/>
  <c r="H217" i="13" s="1"/>
  <c r="H216" i="13" s="1"/>
  <c r="H223" i="13"/>
  <c r="H222" i="13" s="1"/>
  <c r="H226" i="13"/>
  <c r="H225" i="13" s="1"/>
  <c r="H229" i="13"/>
  <c r="H228" i="13" s="1"/>
  <c r="H242" i="13"/>
  <c r="H241" i="13" s="1"/>
  <c r="H240" i="13" s="1"/>
  <c r="H248" i="13"/>
  <c r="H247" i="13" s="1"/>
  <c r="H246" i="13" s="1"/>
  <c r="H252" i="13"/>
  <c r="H251" i="13" s="1"/>
  <c r="H250" i="13" s="1"/>
  <c r="H256" i="13"/>
  <c r="H255" i="13" s="1"/>
  <c r="H260" i="13"/>
  <c r="H259" i="13" s="1"/>
  <c r="H263" i="13"/>
  <c r="H262" i="13" s="1"/>
  <c r="H267" i="13"/>
  <c r="H270" i="13"/>
  <c r="H269" i="13" s="1"/>
  <c r="H275" i="13"/>
  <c r="H274" i="13" s="1"/>
  <c r="H278" i="13"/>
  <c r="H277" i="13" s="1"/>
  <c r="H284" i="13"/>
  <c r="H290" i="13"/>
  <c r="H289" i="13" s="1"/>
  <c r="H288" i="13" s="1"/>
  <c r="H296" i="13"/>
  <c r="H295" i="13" s="1"/>
  <c r="H301" i="13"/>
  <c r="H305" i="13"/>
  <c r="H304" i="13" s="1"/>
  <c r="H308" i="13"/>
  <c r="H307" i="13" s="1"/>
  <c r="H313" i="13"/>
  <c r="H316" i="13"/>
  <c r="H315" i="13" s="1"/>
  <c r="H321" i="13"/>
  <c r="H320" i="13" s="1"/>
  <c r="H324" i="13"/>
  <c r="H323" i="13" s="1"/>
  <c r="H328" i="13"/>
  <c r="H334" i="13"/>
  <c r="H333" i="13" s="1"/>
  <c r="H337" i="13"/>
  <c r="H336" i="13" s="1"/>
  <c r="H340" i="13"/>
  <c r="H339" i="13" s="1"/>
  <c r="H343" i="13"/>
  <c r="H342" i="13" s="1"/>
  <c r="H347" i="13"/>
  <c r="H346" i="13" s="1"/>
  <c r="H350" i="13"/>
  <c r="H349" i="13" s="1"/>
  <c r="H345" i="13" s="1"/>
  <c r="H355" i="13"/>
  <c r="H354" i="13" s="1"/>
  <c r="H359" i="13"/>
  <c r="H367" i="13"/>
  <c r="H366" i="13" s="1"/>
  <c r="H371" i="13"/>
  <c r="H374" i="13"/>
  <c r="H379" i="13"/>
  <c r="H378" i="13" s="1"/>
  <c r="H382" i="13"/>
  <c r="H381" i="13" s="1"/>
  <c r="H386" i="13"/>
  <c r="H385" i="13" s="1"/>
  <c r="H389" i="13"/>
  <c r="H388" i="13" s="1"/>
  <c r="H393" i="13"/>
  <c r="H392" i="13" s="1"/>
  <c r="H397" i="13"/>
  <c r="H396" i="13" s="1"/>
  <c r="H400" i="13"/>
  <c r="H399" i="13" s="1"/>
  <c r="H405" i="13"/>
  <c r="H404" i="13" s="1"/>
  <c r="H409" i="13"/>
  <c r="H408" i="13" s="1"/>
  <c r="H412" i="13"/>
  <c r="H411" i="13" s="1"/>
  <c r="H415" i="13"/>
  <c r="H414" i="13" s="1"/>
  <c r="H417" i="13"/>
  <c r="H427" i="13"/>
  <c r="H446" i="13"/>
  <c r="H465" i="13"/>
  <c r="H464" i="13" s="1"/>
  <c r="H471" i="13"/>
  <c r="H469" i="13" s="1"/>
  <c r="H468" i="13" s="1"/>
  <c r="H474" i="13"/>
  <c r="H473" i="13" s="1"/>
  <c r="H477" i="13"/>
  <c r="H476" i="13" s="1"/>
  <c r="H480" i="13"/>
  <c r="H479" i="13" s="1"/>
  <c r="H484" i="13"/>
  <c r="H483" i="13" s="1"/>
  <c r="H488" i="13"/>
  <c r="H487" i="13" s="1"/>
  <c r="H491" i="13"/>
  <c r="H490" i="13" s="1"/>
  <c r="H493" i="13"/>
  <c r="H123" i="13" l="1"/>
  <c r="H258" i="13"/>
  <c r="H510" i="13"/>
  <c r="H358" i="13"/>
  <c r="H283" i="13"/>
  <c r="H282" i="13" s="1"/>
  <c r="H300" i="13"/>
  <c r="H299" i="13" s="1"/>
  <c r="H266" i="13"/>
  <c r="H265" i="13" s="1"/>
  <c r="H373" i="13"/>
  <c r="H312" i="13"/>
  <c r="H303" i="13" s="1"/>
  <c r="H370" i="13"/>
  <c r="H106" i="13"/>
  <c r="H105" i="13" s="1"/>
  <c r="H41" i="13"/>
  <c r="H87" i="13"/>
  <c r="H82" i="13" s="1"/>
  <c r="N13" i="15"/>
  <c r="H7" i="13"/>
  <c r="H6" i="13" s="1"/>
  <c r="H28" i="13"/>
  <c r="H50" i="13"/>
  <c r="H75" i="13"/>
  <c r="H102" i="13"/>
  <c r="H98" i="13" s="1"/>
  <c r="H113" i="13"/>
  <c r="H116" i="13"/>
  <c r="H144" i="13"/>
  <c r="H148" i="13"/>
  <c r="H169" i="13"/>
  <c r="H190" i="13"/>
  <c r="H212" i="13"/>
  <c r="H221" i="13"/>
  <c r="H235" i="13"/>
  <c r="H254" i="13"/>
  <c r="H273" i="13"/>
  <c r="H294" i="13"/>
  <c r="H319" i="13"/>
  <c r="H332" i="13"/>
  <c r="H384" i="13"/>
  <c r="H395" i="13"/>
  <c r="H426" i="13"/>
  <c r="H505" i="13"/>
  <c r="H109" i="13"/>
  <c r="H90" i="13"/>
  <c r="H407" i="13"/>
  <c r="H362" i="13"/>
  <c r="G494" i="13"/>
  <c r="I494" i="13" s="1"/>
  <c r="G485" i="13"/>
  <c r="I485" i="13" s="1"/>
  <c r="H369" i="13" l="1"/>
  <c r="G493" i="13"/>
  <c r="I493" i="13" s="1"/>
  <c r="H231" i="13"/>
  <c r="H57" i="13"/>
  <c r="N6" i="15"/>
  <c r="H23" i="13"/>
  <c r="H143" i="13"/>
  <c r="H168" i="13"/>
  <c r="H189" i="13"/>
  <c r="H361" i="13"/>
  <c r="H423" i="13"/>
  <c r="H504" i="13"/>
  <c r="N16" i="15" l="1"/>
  <c r="N15" i="15"/>
  <c r="N14" i="15"/>
  <c r="N9" i="15"/>
  <c r="N8" i="15"/>
  <c r="H137" i="13"/>
  <c r="H357" i="13"/>
  <c r="H422" i="13"/>
  <c r="H503" i="13"/>
  <c r="N12" i="15" l="1"/>
  <c r="N11" i="15"/>
  <c r="N10" i="15"/>
  <c r="N5" i="15"/>
  <c r="F4" i="15"/>
  <c r="H22" i="13"/>
  <c r="H421" i="13"/>
  <c r="H536" i="13"/>
  <c r="J4" i="15" l="1"/>
  <c r="H497" i="13"/>
  <c r="H543" i="13"/>
  <c r="J3" i="15" s="1"/>
  <c r="N4" i="15" l="1"/>
  <c r="J18" i="15"/>
  <c r="H542" i="13"/>
  <c r="F3" i="15" l="1"/>
  <c r="H544" i="13"/>
  <c r="F17" i="15" l="1"/>
  <c r="N3" i="15"/>
  <c r="G447" i="13"/>
  <c r="I447" i="13" s="1"/>
  <c r="N54" i="15" l="1"/>
  <c r="N19" i="15"/>
  <c r="G486" i="13"/>
  <c r="G492" i="13"/>
  <c r="I492" i="13" s="1"/>
  <c r="G489" i="13"/>
  <c r="I489" i="13" s="1"/>
  <c r="G480" i="13"/>
  <c r="G478" i="13"/>
  <c r="I478" i="13" s="1"/>
  <c r="G467" i="13"/>
  <c r="I467" i="13" s="1"/>
  <c r="G448" i="13"/>
  <c r="I448" i="13" s="1"/>
  <c r="G443" i="13"/>
  <c r="I443" i="13" s="1"/>
  <c r="G418" i="13"/>
  <c r="G402" i="13"/>
  <c r="I402" i="13" s="1"/>
  <c r="G382" i="13"/>
  <c r="G377" i="13"/>
  <c r="I377" i="13" s="1"/>
  <c r="G365" i="13"/>
  <c r="I365" i="13" s="1"/>
  <c r="G364" i="13"/>
  <c r="I364" i="13" s="1"/>
  <c r="G355" i="13"/>
  <c r="G343" i="13"/>
  <c r="G329" i="13"/>
  <c r="G326" i="13"/>
  <c r="I326" i="13" s="1"/>
  <c r="G316" i="13"/>
  <c r="I316" i="13" s="1"/>
  <c r="G310" i="13"/>
  <c r="I310" i="13" s="1"/>
  <c r="G309" i="13"/>
  <c r="I309" i="13" s="1"/>
  <c r="G484" i="13" l="1"/>
  <c r="I484" i="13" s="1"/>
  <c r="I486" i="13"/>
  <c r="G328" i="13"/>
  <c r="I328" i="13" s="1"/>
  <c r="I329" i="13"/>
  <c r="G417" i="13"/>
  <c r="I417" i="13" s="1"/>
  <c r="I418" i="13"/>
  <c r="G342" i="13"/>
  <c r="I342" i="13" s="1"/>
  <c r="I343" i="13"/>
  <c r="G479" i="13"/>
  <c r="I479" i="13" s="1"/>
  <c r="I480" i="13"/>
  <c r="G354" i="13"/>
  <c r="I354" i="13" s="1"/>
  <c r="I355" i="13"/>
  <c r="G381" i="13"/>
  <c r="I381" i="13" s="1"/>
  <c r="I382" i="13"/>
  <c r="G55" i="13"/>
  <c r="G54" i="13" l="1"/>
  <c r="I54" i="13" s="1"/>
  <c r="I55" i="13"/>
  <c r="G53" i="13"/>
  <c r="I53" i="13" s="1"/>
  <c r="G236" i="13" l="1"/>
  <c r="I236" i="13" s="1"/>
  <c r="G218" i="13"/>
  <c r="I218" i="13" s="1"/>
  <c r="G181" i="13"/>
  <c r="I181" i="13" s="1"/>
  <c r="G229" i="13"/>
  <c r="G228" i="13" l="1"/>
  <c r="I228" i="13" s="1"/>
  <c r="I229" i="13"/>
  <c r="G516" i="13" l="1"/>
  <c r="I516" i="13" s="1"/>
  <c r="G470" i="13"/>
  <c r="I470" i="13" s="1"/>
  <c r="G452" i="13"/>
  <c r="I452" i="13" s="1"/>
  <c r="G449" i="13"/>
  <c r="I449" i="13" s="1"/>
  <c r="G432" i="13" l="1"/>
  <c r="I432" i="13" s="1"/>
  <c r="M25" i="15" l="1"/>
  <c r="O25" i="15" s="1"/>
  <c r="G534" i="13"/>
  <c r="G483" i="13"/>
  <c r="I483" i="13" s="1"/>
  <c r="G488" i="13"/>
  <c r="G474" i="13"/>
  <c r="G491" i="13"/>
  <c r="G477" i="13"/>
  <c r="G465" i="13"/>
  <c r="G376" i="13"/>
  <c r="I376" i="13" s="1"/>
  <c r="G324" i="13"/>
  <c r="I324" i="13" s="1"/>
  <c r="G52" i="13"/>
  <c r="G490" i="13" l="1"/>
  <c r="I490" i="13" s="1"/>
  <c r="I491" i="13"/>
  <c r="G464" i="13"/>
  <c r="I464" i="13" s="1"/>
  <c r="I465" i="13"/>
  <c r="G487" i="13"/>
  <c r="I487" i="13" s="1"/>
  <c r="I488" i="13"/>
  <c r="G533" i="13"/>
  <c r="I533" i="13" s="1"/>
  <c r="I534" i="13"/>
  <c r="G473" i="13"/>
  <c r="I473" i="13" s="1"/>
  <c r="I474" i="13"/>
  <c r="G51" i="13"/>
  <c r="I52" i="13"/>
  <c r="G476" i="13"/>
  <c r="I476" i="13" s="1"/>
  <c r="I477" i="13"/>
  <c r="G50" i="13" l="1"/>
  <c r="I51" i="13"/>
  <c r="I50" i="13" l="1"/>
  <c r="M27" i="15" l="1"/>
  <c r="O27" i="15" s="1"/>
  <c r="M26" i="15"/>
  <c r="O26" i="15" s="1"/>
  <c r="M23" i="15"/>
  <c r="O23" i="15" s="1"/>
  <c r="G515" i="13" l="1"/>
  <c r="G472" i="13"/>
  <c r="I472" i="13" s="1"/>
  <c r="G428" i="13"/>
  <c r="I428" i="13" s="1"/>
  <c r="G235" i="13"/>
  <c r="I235" i="13" s="1"/>
  <c r="G36" i="13"/>
  <c r="I36" i="13" s="1"/>
  <c r="G27" i="13"/>
  <c r="I27" i="13" s="1"/>
  <c r="G512" i="13" l="1"/>
  <c r="I512" i="13" s="1"/>
  <c r="I515" i="13"/>
  <c r="G446" i="13"/>
  <c r="I446" i="13" s="1"/>
  <c r="G97" i="13"/>
  <c r="I97" i="13" s="1"/>
  <c r="G93" i="13"/>
  <c r="I93" i="13" s="1"/>
  <c r="B23" i="15" l="1"/>
  <c r="B24" i="15" s="1"/>
  <c r="B25" i="15" s="1"/>
  <c r="B26" i="15" s="1"/>
  <c r="G429" i="13"/>
  <c r="G509" i="13"/>
  <c r="G507" i="13"/>
  <c r="G10" i="13"/>
  <c r="B503" i="13"/>
  <c r="B504" i="13" s="1"/>
  <c r="B505" i="13" s="1"/>
  <c r="B506" i="13" s="1"/>
  <c r="B507" i="13" s="1"/>
  <c r="B508" i="13" s="1"/>
  <c r="B509" i="13" s="1"/>
  <c r="B510" i="13" s="1"/>
  <c r="B511" i="13" s="1"/>
  <c r="B512" i="13" s="1"/>
  <c r="B513" i="13" s="1"/>
  <c r="G389" i="13"/>
  <c r="G118" i="13"/>
  <c r="G121" i="13"/>
  <c r="G471" i="13"/>
  <c r="I471" i="13" s="1"/>
  <c r="G511" i="13"/>
  <c r="G35" i="13"/>
  <c r="G25" i="13"/>
  <c r="M47" i="15"/>
  <c r="G415" i="13"/>
  <c r="G412" i="13"/>
  <c r="G409" i="13"/>
  <c r="G405" i="13"/>
  <c r="G400" i="13"/>
  <c r="G397" i="13"/>
  <c r="G393" i="13"/>
  <c r="G386" i="13"/>
  <c r="G379" i="13"/>
  <c r="G374" i="13"/>
  <c r="G371" i="13"/>
  <c r="G367" i="13"/>
  <c r="G362" i="13"/>
  <c r="G359" i="13"/>
  <c r="G350" i="13"/>
  <c r="G347" i="13"/>
  <c r="G340" i="13"/>
  <c r="G337" i="13"/>
  <c r="G334" i="13"/>
  <c r="G323" i="13"/>
  <c r="I323" i="13" s="1"/>
  <c r="G321" i="13"/>
  <c r="G315" i="13"/>
  <c r="I315" i="13" s="1"/>
  <c r="G313" i="13"/>
  <c r="G308" i="13"/>
  <c r="G305" i="13"/>
  <c r="G301" i="13"/>
  <c r="G296" i="13"/>
  <c r="G290" i="13"/>
  <c r="G284" i="13"/>
  <c r="G278" i="13"/>
  <c r="G275" i="13"/>
  <c r="G270" i="13"/>
  <c r="G267" i="13"/>
  <c r="G263" i="13"/>
  <c r="G260" i="13"/>
  <c r="G256" i="13"/>
  <c r="G252" i="13"/>
  <c r="G248" i="13"/>
  <c r="G242" i="13"/>
  <c r="G226" i="13"/>
  <c r="G223" i="13"/>
  <c r="G217" i="13"/>
  <c r="G214" i="13"/>
  <c r="G210" i="13"/>
  <c r="G206" i="13"/>
  <c r="G201" i="13"/>
  <c r="G196" i="13"/>
  <c r="G191" i="13"/>
  <c r="G186" i="13"/>
  <c r="G180" i="13"/>
  <c r="G175" i="13"/>
  <c r="G170" i="13"/>
  <c r="G165" i="13"/>
  <c r="G160" i="13"/>
  <c r="G155" i="13"/>
  <c r="G150" i="13"/>
  <c r="G145" i="13"/>
  <c r="G140" i="13"/>
  <c r="G132" i="13"/>
  <c r="G92" i="13"/>
  <c r="G128" i="13"/>
  <c r="G125" i="13"/>
  <c r="G114" i="13"/>
  <c r="G111" i="13"/>
  <c r="G107" i="13"/>
  <c r="G103" i="13"/>
  <c r="G100" i="13"/>
  <c r="G96" i="13"/>
  <c r="G88" i="13"/>
  <c r="G84" i="13"/>
  <c r="G80" i="13"/>
  <c r="G77" i="13"/>
  <c r="G62" i="13"/>
  <c r="G67" i="13"/>
  <c r="G70" i="13"/>
  <c r="G29" i="13"/>
  <c r="I29" i="13" s="1"/>
  <c r="G45" i="13"/>
  <c r="G42" i="13"/>
  <c r="G39" i="13"/>
  <c r="I39" i="13" s="1"/>
  <c r="G32" i="13"/>
  <c r="I32" i="13" s="1"/>
  <c r="G17" i="13"/>
  <c r="G12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27" i="15" l="1"/>
  <c r="B28" i="15" s="1"/>
  <c r="B29" i="15" s="1"/>
  <c r="B30" i="15" s="1"/>
  <c r="B31" i="15" s="1"/>
  <c r="B32" i="15" s="1"/>
  <c r="B33" i="15" s="1"/>
  <c r="B34" i="15" s="1"/>
  <c r="B35" i="15" s="1"/>
  <c r="B36" i="15" s="1"/>
  <c r="G149" i="13"/>
  <c r="I150" i="13"/>
  <c r="G289" i="13"/>
  <c r="I290" i="13"/>
  <c r="G213" i="13"/>
  <c r="I214" i="13"/>
  <c r="G76" i="13"/>
  <c r="I76" i="13" s="1"/>
  <c r="I77" i="13"/>
  <c r="G110" i="13"/>
  <c r="I110" i="13" s="1"/>
  <c r="I111" i="13"/>
  <c r="G190" i="13"/>
  <c r="I191" i="13"/>
  <c r="G255" i="13"/>
  <c r="I256" i="13"/>
  <c r="G307" i="13"/>
  <c r="I307" i="13" s="1"/>
  <c r="I308" i="13"/>
  <c r="G361" i="13"/>
  <c r="I361" i="13" s="1"/>
  <c r="I362" i="13"/>
  <c r="G378" i="13"/>
  <c r="I378" i="13" s="1"/>
  <c r="I379" i="13"/>
  <c r="G414" i="13"/>
  <c r="I414" i="13" s="1"/>
  <c r="I415" i="13"/>
  <c r="G427" i="13"/>
  <c r="I427" i="13" s="1"/>
  <c r="I429" i="13"/>
  <c r="G69" i="13"/>
  <c r="I69" i="13" s="1"/>
  <c r="I70" i="13"/>
  <c r="G99" i="13"/>
  <c r="I99" i="13" s="1"/>
  <c r="I100" i="13"/>
  <c r="G131" i="13"/>
  <c r="I132" i="13"/>
  <c r="G174" i="13"/>
  <c r="I175" i="13"/>
  <c r="G241" i="13"/>
  <c r="I242" i="13"/>
  <c r="G274" i="13"/>
  <c r="I274" i="13" s="1"/>
  <c r="I275" i="13"/>
  <c r="G333" i="13"/>
  <c r="I333" i="13" s="1"/>
  <c r="I334" i="13"/>
  <c r="G366" i="13"/>
  <c r="I366" i="13" s="1"/>
  <c r="I367" i="13"/>
  <c r="G404" i="13"/>
  <c r="I404" i="13" s="1"/>
  <c r="I405" i="13"/>
  <c r="G11" i="13"/>
  <c r="I11" i="13" s="1"/>
  <c r="I12" i="13"/>
  <c r="G83" i="13"/>
  <c r="I83" i="13" s="1"/>
  <c r="I84" i="13"/>
  <c r="G139" i="13"/>
  <c r="I140" i="13"/>
  <c r="G200" i="13"/>
  <c r="I201" i="13"/>
  <c r="G216" i="13"/>
  <c r="I216" i="13" s="1"/>
  <c r="I217" i="13"/>
  <c r="G262" i="13"/>
  <c r="I262" i="13" s="1"/>
  <c r="I263" i="13"/>
  <c r="G370" i="13"/>
  <c r="I370" i="13" s="1"/>
  <c r="I371" i="13"/>
  <c r="G408" i="13"/>
  <c r="I408" i="13" s="1"/>
  <c r="I409" i="13"/>
  <c r="G9" i="13"/>
  <c r="I10" i="13"/>
  <c r="G95" i="13"/>
  <c r="I95" i="13" s="1"/>
  <c r="I96" i="13"/>
  <c r="G91" i="13"/>
  <c r="I91" i="13" s="1"/>
  <c r="I92" i="13"/>
  <c r="G169" i="13"/>
  <c r="I170" i="13"/>
  <c r="G209" i="13"/>
  <c r="I210" i="13"/>
  <c r="G225" i="13"/>
  <c r="I225" i="13" s="1"/>
  <c r="I226" i="13"/>
  <c r="G269" i="13"/>
  <c r="I269" i="13" s="1"/>
  <c r="I270" i="13"/>
  <c r="G346" i="13"/>
  <c r="I346" i="13" s="1"/>
  <c r="I347" i="13"/>
  <c r="G399" i="13"/>
  <c r="I399" i="13" s="1"/>
  <c r="I400" i="13"/>
  <c r="G508" i="13"/>
  <c r="I508" i="13" s="1"/>
  <c r="I509" i="13"/>
  <c r="G79" i="13"/>
  <c r="I79" i="13" s="1"/>
  <c r="I80" i="13"/>
  <c r="G113" i="13"/>
  <c r="I113" i="13" s="1"/>
  <c r="I114" i="13"/>
  <c r="G154" i="13"/>
  <c r="I155" i="13"/>
  <c r="G195" i="13"/>
  <c r="I196" i="13"/>
  <c r="G259" i="13"/>
  <c r="I259" i="13" s="1"/>
  <c r="I260" i="13"/>
  <c r="G295" i="13"/>
  <c r="I296" i="13"/>
  <c r="G312" i="13"/>
  <c r="I312" i="13" s="1"/>
  <c r="I313" i="13"/>
  <c r="G349" i="13"/>
  <c r="I350" i="13"/>
  <c r="G385" i="13"/>
  <c r="I385" i="13" s="1"/>
  <c r="I386" i="13"/>
  <c r="G120" i="13"/>
  <c r="I120" i="13" s="1"/>
  <c r="I121" i="13"/>
  <c r="G41" i="13"/>
  <c r="I41" i="13" s="1"/>
  <c r="I42" i="13"/>
  <c r="G66" i="13"/>
  <c r="I66" i="13" s="1"/>
  <c r="I67" i="13"/>
  <c r="G102" i="13"/>
  <c r="I102" i="13" s="1"/>
  <c r="I103" i="13"/>
  <c r="G124" i="13"/>
  <c r="I124" i="13" s="1"/>
  <c r="I125" i="13"/>
  <c r="G159" i="13"/>
  <c r="I160" i="13"/>
  <c r="G179" i="13"/>
  <c r="I180" i="13"/>
  <c r="G247" i="13"/>
  <c r="I248" i="13"/>
  <c r="G277" i="13"/>
  <c r="I277" i="13" s="1"/>
  <c r="I278" i="13"/>
  <c r="G300" i="13"/>
  <c r="I301" i="13"/>
  <c r="G336" i="13"/>
  <c r="I336" i="13" s="1"/>
  <c r="I337" i="13"/>
  <c r="G392" i="13"/>
  <c r="I392" i="13" s="1"/>
  <c r="I393" i="13"/>
  <c r="G24" i="13"/>
  <c r="I24" i="13" s="1"/>
  <c r="I25" i="13"/>
  <c r="G117" i="13"/>
  <c r="I117" i="13" s="1"/>
  <c r="I118" i="13"/>
  <c r="G16" i="13"/>
  <c r="I16" i="13" s="1"/>
  <c r="I17" i="13"/>
  <c r="G44" i="13"/>
  <c r="I44" i="13" s="1"/>
  <c r="I45" i="13"/>
  <c r="G61" i="13"/>
  <c r="I61" i="13" s="1"/>
  <c r="I62" i="13"/>
  <c r="G87" i="13"/>
  <c r="I87" i="13" s="1"/>
  <c r="I88" i="13"/>
  <c r="G106" i="13"/>
  <c r="I107" i="13"/>
  <c r="G127" i="13"/>
  <c r="I127" i="13" s="1"/>
  <c r="I128" i="13"/>
  <c r="G144" i="13"/>
  <c r="I145" i="13"/>
  <c r="G164" i="13"/>
  <c r="I165" i="13"/>
  <c r="G185" i="13"/>
  <c r="I186" i="13"/>
  <c r="G205" i="13"/>
  <c r="I206" i="13"/>
  <c r="G222" i="13"/>
  <c r="I222" i="13" s="1"/>
  <c r="I223" i="13"/>
  <c r="G251" i="13"/>
  <c r="I252" i="13"/>
  <c r="G266" i="13"/>
  <c r="I266" i="13" s="1"/>
  <c r="I267" i="13"/>
  <c r="G283" i="13"/>
  <c r="I284" i="13"/>
  <c r="G304" i="13"/>
  <c r="I304" i="13" s="1"/>
  <c r="I305" i="13"/>
  <c r="G320" i="13"/>
  <c r="I320" i="13" s="1"/>
  <c r="I321" i="13"/>
  <c r="G339" i="13"/>
  <c r="I339" i="13" s="1"/>
  <c r="I340" i="13"/>
  <c r="G358" i="13"/>
  <c r="I358" i="13" s="1"/>
  <c r="I359" i="13"/>
  <c r="G373" i="13"/>
  <c r="I373" i="13" s="1"/>
  <c r="I374" i="13"/>
  <c r="G396" i="13"/>
  <c r="I396" i="13" s="1"/>
  <c r="I397" i="13"/>
  <c r="G411" i="13"/>
  <c r="I411" i="13" s="1"/>
  <c r="I412" i="13"/>
  <c r="G34" i="13"/>
  <c r="I34" i="13" s="1"/>
  <c r="I35" i="13"/>
  <c r="G388" i="13"/>
  <c r="I388" i="13" s="1"/>
  <c r="I389" i="13"/>
  <c r="G506" i="13"/>
  <c r="I506" i="13" s="1"/>
  <c r="I507" i="13"/>
  <c r="M44" i="15"/>
  <c r="O44" i="15" s="1"/>
  <c r="O47" i="15"/>
  <c r="G510" i="13"/>
  <c r="I510" i="13" s="1"/>
  <c r="I511" i="13"/>
  <c r="G407" i="13"/>
  <c r="I407" i="13" s="1"/>
  <c r="G221" i="13"/>
  <c r="B514" i="13"/>
  <c r="B515" i="13" s="1"/>
  <c r="B516" i="13" s="1"/>
  <c r="B517" i="13" s="1"/>
  <c r="B518" i="13" s="1"/>
  <c r="B519" i="13" s="1"/>
  <c r="B520" i="13" s="1"/>
  <c r="B521" i="13" s="1"/>
  <c r="B522" i="13" s="1"/>
  <c r="B523" i="13" s="1"/>
  <c r="G469" i="13"/>
  <c r="M22" i="15"/>
  <c r="O22" i="15" s="1"/>
  <c r="G90" i="13"/>
  <c r="I90" i="13" s="1"/>
  <c r="G109" i="13"/>
  <c r="I109" i="13" s="1"/>
  <c r="G98" i="13" l="1"/>
  <c r="I98" i="13" s="1"/>
  <c r="G273" i="13"/>
  <c r="I273" i="13" s="1"/>
  <c r="G369" i="13"/>
  <c r="I369" i="13" s="1"/>
  <c r="G505" i="13"/>
  <c r="I505" i="13" s="1"/>
  <c r="G265" i="13"/>
  <c r="I265" i="13" s="1"/>
  <c r="I349" i="13"/>
  <c r="G345" i="13"/>
  <c r="G82" i="13"/>
  <c r="I82" i="13" s="1"/>
  <c r="G426" i="13"/>
  <c r="G75" i="13"/>
  <c r="I75" i="13" s="1"/>
  <c r="G28" i="13"/>
  <c r="G23" i="13" s="1"/>
  <c r="I23" i="13" s="1"/>
  <c r="G384" i="13"/>
  <c r="I384" i="13" s="1"/>
  <c r="G332" i="13"/>
  <c r="G395" i="13"/>
  <c r="I395" i="13" s="1"/>
  <c r="G258" i="13"/>
  <c r="I258" i="13" s="1"/>
  <c r="G303" i="13"/>
  <c r="G319" i="13"/>
  <c r="I319" i="13" s="1"/>
  <c r="G116" i="13"/>
  <c r="I116" i="13" s="1"/>
  <c r="G123" i="13"/>
  <c r="I123" i="13" s="1"/>
  <c r="G357" i="13"/>
  <c r="I357" i="13" s="1"/>
  <c r="B37" i="15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G184" i="13"/>
  <c r="I184" i="13" s="1"/>
  <c r="I185" i="13"/>
  <c r="G143" i="13"/>
  <c r="I143" i="13" s="1"/>
  <c r="I144" i="13"/>
  <c r="G105" i="13"/>
  <c r="I105" i="13" s="1"/>
  <c r="I106" i="13"/>
  <c r="G299" i="13"/>
  <c r="I299" i="13" s="1"/>
  <c r="I300" i="13"/>
  <c r="G246" i="13"/>
  <c r="I246" i="13" s="1"/>
  <c r="I247" i="13"/>
  <c r="G158" i="13"/>
  <c r="I158" i="13" s="1"/>
  <c r="I159" i="13"/>
  <c r="G153" i="13"/>
  <c r="I153" i="13" s="1"/>
  <c r="I154" i="13"/>
  <c r="G208" i="13"/>
  <c r="I208" i="13" s="1"/>
  <c r="I209" i="13"/>
  <c r="G8" i="13"/>
  <c r="I9" i="13"/>
  <c r="G138" i="13"/>
  <c r="I138" i="13" s="1"/>
  <c r="I139" i="13"/>
  <c r="G173" i="13"/>
  <c r="I173" i="13" s="1"/>
  <c r="I174" i="13"/>
  <c r="G189" i="13"/>
  <c r="I189" i="13" s="1"/>
  <c r="I190" i="13"/>
  <c r="G288" i="13"/>
  <c r="I288" i="13" s="1"/>
  <c r="I289" i="13"/>
  <c r="I332" i="13"/>
  <c r="G504" i="13"/>
  <c r="G468" i="13"/>
  <c r="I469" i="13"/>
  <c r="I221" i="13"/>
  <c r="G423" i="13"/>
  <c r="I423" i="13" s="1"/>
  <c r="I426" i="13"/>
  <c r="I28" i="13"/>
  <c r="I303" i="13"/>
  <c r="G282" i="13"/>
  <c r="I282" i="13" s="1"/>
  <c r="I283" i="13"/>
  <c r="G250" i="13"/>
  <c r="I250" i="13" s="1"/>
  <c r="I251" i="13"/>
  <c r="G204" i="13"/>
  <c r="I204" i="13" s="1"/>
  <c r="I205" i="13"/>
  <c r="G163" i="13"/>
  <c r="I163" i="13" s="1"/>
  <c r="I164" i="13"/>
  <c r="G178" i="13"/>
  <c r="I178" i="13" s="1"/>
  <c r="I179" i="13"/>
  <c r="G294" i="13"/>
  <c r="I294" i="13" s="1"/>
  <c r="I295" i="13"/>
  <c r="G194" i="13"/>
  <c r="I194" i="13" s="1"/>
  <c r="I195" i="13"/>
  <c r="G168" i="13"/>
  <c r="I168" i="13" s="1"/>
  <c r="I169" i="13"/>
  <c r="G199" i="13"/>
  <c r="I199" i="13" s="1"/>
  <c r="I200" i="13"/>
  <c r="G240" i="13"/>
  <c r="I240" i="13" s="1"/>
  <c r="I241" i="13"/>
  <c r="G130" i="13"/>
  <c r="I131" i="13"/>
  <c r="G254" i="13"/>
  <c r="I254" i="13" s="1"/>
  <c r="I255" i="13"/>
  <c r="G212" i="13"/>
  <c r="I212" i="13" s="1"/>
  <c r="I213" i="13"/>
  <c r="G148" i="13"/>
  <c r="I148" i="13" s="1"/>
  <c r="I149" i="13"/>
  <c r="B43" i="13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K16" i="15"/>
  <c r="B525" i="13"/>
  <c r="B526" i="13" s="1"/>
  <c r="B527" i="13" s="1"/>
  <c r="B528" i="13" s="1"/>
  <c r="B529" i="13" s="1"/>
  <c r="B530" i="13" s="1"/>
  <c r="B531" i="13" s="1"/>
  <c r="B532" i="13" s="1"/>
  <c r="B533" i="13" s="1"/>
  <c r="B534" i="13" s="1"/>
  <c r="B535" i="13" s="1"/>
  <c r="B536" i="13" s="1"/>
  <c r="K15" i="15"/>
  <c r="G422" i="13" l="1"/>
  <c r="G421" i="13" s="1"/>
  <c r="I421" i="13" s="1"/>
  <c r="I345" i="13"/>
  <c r="G57" i="13"/>
  <c r="I57" i="13" s="1"/>
  <c r="G231" i="13"/>
  <c r="I422" i="13"/>
  <c r="I468" i="13"/>
  <c r="B80" i="13"/>
  <c r="B81" i="13" s="1"/>
  <c r="B82" i="13" s="1"/>
  <c r="B83" i="13" s="1"/>
  <c r="B84" i="13" s="1"/>
  <c r="B85" i="13" s="1"/>
  <c r="B86" i="13" s="1"/>
  <c r="B87" i="13" s="1"/>
  <c r="B88" i="13" s="1"/>
  <c r="B89" i="13" s="1"/>
  <c r="I130" i="13"/>
  <c r="G137" i="13"/>
  <c r="G503" i="13"/>
  <c r="I504" i="13"/>
  <c r="I8" i="13"/>
  <c r="G7" i="13"/>
  <c r="K13" i="15"/>
  <c r="G9" i="15"/>
  <c r="K5" i="15"/>
  <c r="B90" i="13" l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I137" i="13"/>
  <c r="I231" i="13"/>
  <c r="G6" i="13"/>
  <c r="I6" i="13" s="1"/>
  <c r="I7" i="13"/>
  <c r="G22" i="13"/>
  <c r="I22" i="13" s="1"/>
  <c r="G536" i="13"/>
  <c r="I503" i="13"/>
  <c r="K8" i="15"/>
  <c r="K7" i="15"/>
  <c r="M6" i="15"/>
  <c r="O6" i="15" s="1"/>
  <c r="G6" i="15"/>
  <c r="K12" i="15"/>
  <c r="G14" i="15"/>
  <c r="B129" i="13" l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G497" i="13"/>
  <c r="G543" i="13"/>
  <c r="I536" i="13"/>
  <c r="M7" i="15"/>
  <c r="O7" i="15" s="1"/>
  <c r="G7" i="15"/>
  <c r="M13" i="15"/>
  <c r="O13" i="15" s="1"/>
  <c r="G13" i="15"/>
  <c r="M9" i="15"/>
  <c r="O9" i="15" s="1"/>
  <c r="K9" i="15"/>
  <c r="M8" i="15"/>
  <c r="O8" i="15" s="1"/>
  <c r="G8" i="15"/>
  <c r="M16" i="15"/>
  <c r="O16" i="15" s="1"/>
  <c r="G16" i="15"/>
  <c r="M5" i="15"/>
  <c r="O5" i="15" s="1"/>
  <c r="G5" i="15"/>
  <c r="K10" i="15"/>
  <c r="G15" i="15"/>
  <c r="B237" i="13" l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I3" i="15"/>
  <c r="K3" i="15" s="1"/>
  <c r="I543" i="13"/>
  <c r="G542" i="13"/>
  <c r="I497" i="13"/>
  <c r="G10" i="15"/>
  <c r="M14" i="15"/>
  <c r="O14" i="15" s="1"/>
  <c r="K14" i="15"/>
  <c r="M15" i="15"/>
  <c r="O15" i="15" s="1"/>
  <c r="G544" i="13" l="1"/>
  <c r="I542" i="13"/>
  <c r="E3" i="15"/>
  <c r="M10" i="15"/>
  <c r="O10" i="15" s="1"/>
  <c r="G12" i="15"/>
  <c r="M12" i="15"/>
  <c r="O12" i="15" s="1"/>
  <c r="M11" i="15"/>
  <c r="O11" i="15" s="1"/>
  <c r="G11" i="15"/>
  <c r="B364" i="13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E4" i="15"/>
  <c r="M3" i="15" l="1"/>
  <c r="O3" i="15" s="1"/>
  <c r="G3" i="15"/>
  <c r="I544" i="13"/>
  <c r="K11" i="15"/>
  <c r="I4" i="15"/>
  <c r="G4" i="15"/>
  <c r="B381" i="13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E17" i="15"/>
  <c r="G17" i="15" l="1"/>
  <c r="M4" i="15"/>
  <c r="K4" i="15"/>
  <c r="I18" i="15"/>
  <c r="B425" i="13"/>
  <c r="B426" i="13" s="1"/>
  <c r="O4" i="15" l="1"/>
  <c r="M54" i="15"/>
  <c r="M19" i="15"/>
  <c r="O19" i="15" s="1"/>
  <c r="B427" i="13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B457" i="13" s="1"/>
  <c r="B458" i="13" s="1"/>
  <c r="B459" i="13" s="1"/>
  <c r="B460" i="13" l="1"/>
  <c r="B461" i="13" s="1"/>
  <c r="B462" i="13" s="1"/>
  <c r="B463" i="13" s="1"/>
  <c r="B464" i="13" s="1"/>
  <c r="B465" i="13" s="1"/>
  <c r="B466" i="13" s="1"/>
  <c r="B467" i="13" s="1"/>
  <c r="B468" i="13" s="1"/>
  <c r="B469" i="13" s="1"/>
  <c r="B470" i="13" s="1"/>
  <c r="B471" i="13" s="1"/>
  <c r="B472" i="13" s="1"/>
  <c r="B473" i="13" s="1"/>
  <c r="B474" i="13" s="1"/>
  <c r="B475" i="13" s="1"/>
  <c r="B476" i="13" s="1"/>
  <c r="B477" i="13" s="1"/>
  <c r="B478" i="13" s="1"/>
  <c r="B479" i="13" s="1"/>
  <c r="B480" i="13" s="1"/>
  <c r="B481" i="13" s="1"/>
  <c r="B482" i="13" s="1"/>
  <c r="B483" i="13" s="1"/>
  <c r="B484" i="13" s="1"/>
  <c r="B485" i="13" l="1"/>
  <c r="B486" i="13" l="1"/>
  <c r="B487" i="13" s="1"/>
  <c r="B488" i="13" s="1"/>
  <c r="B489" i="13" s="1"/>
  <c r="B490" i="13" s="1"/>
  <c r="B491" i="13" s="1"/>
  <c r="B492" i="13" s="1"/>
  <c r="B493" i="13" s="1"/>
  <c r="B494" i="13" s="1"/>
  <c r="B495" i="13" s="1"/>
  <c r="B496" i="13" s="1"/>
  <c r="B497" i="13" s="1"/>
</calcChain>
</file>

<file path=xl/sharedStrings.xml><?xml version="1.0" encoding="utf-8"?>
<sst xmlns="http://schemas.openxmlformats.org/spreadsheetml/2006/main" count="3700" uniqueCount="714">
  <si>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</si>
  <si>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</si>
  <si>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</si>
  <si>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</si>
  <si>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</si>
  <si>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</si>
  <si>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</si>
  <si>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</si>
  <si>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</si>
  <si>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</si>
  <si>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</si>
  <si>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</si>
  <si>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</si>
  <si>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</si>
  <si>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</si>
  <si>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</si>
  <si>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</si>
  <si>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</si>
  <si>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</si>
  <si>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</si>
  <si>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</si>
  <si>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</si>
  <si>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</si>
  <si>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</si>
  <si>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</si>
  <si>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</si>
  <si>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</si>
  <si>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</si>
  <si>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</si>
  <si>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</si>
  <si>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</si>
  <si>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</si>
  <si>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</si>
  <si>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</si>
  <si>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</si>
  <si>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</si>
  <si>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</si>
  <si>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</si>
  <si>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</si>
  <si>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</si>
  <si>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</si>
  <si>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</si>
  <si>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</si>
  <si>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</si>
  <si>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</si>
  <si>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</si>
  <si>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</si>
  <si>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</si>
  <si>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</si>
  <si>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</si>
  <si>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</si>
  <si>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</si>
  <si>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</si>
  <si>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</si>
  <si>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</si>
  <si>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</si>
  <si>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</si>
  <si>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</si>
  <si>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</si>
  <si>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</si>
  <si>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</si>
  <si>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</si>
  <si>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</si>
  <si>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</si>
  <si>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</si>
  <si>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</si>
  <si>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</si>
  <si>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</si>
  <si>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</si>
  <si>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</si>
  <si>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</si>
  <si>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</si>
  <si>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</si>
  <si>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</si>
  <si>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</si>
  <si>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</si>
  <si>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</si>
  <si>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</si>
  <si>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</si>
  <si>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</si>
  <si>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</si>
  <si>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</si>
  <si>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</si>
  <si>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</si>
  <si>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</si>
  <si>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</si>
  <si>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</si>
  <si>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</si>
  <si>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</si>
  <si>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</si>
  <si>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</si>
  <si>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</si>
  <si>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</si>
  <si>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</si>
  <si>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</si>
  <si>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</si>
  <si>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</si>
  <si>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</si>
  <si>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</si>
  <si>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</si>
  <si>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</si>
  <si>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</si>
  <si>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</si>
  <si>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</si>
  <si>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</si>
  <si>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</si>
  <si>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</si>
  <si>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</si>
  <si>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</si>
  <si>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</si>
  <si>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</si>
  <si>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</si>
  <si>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</si>
  <si>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</si>
  <si>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</si>
  <si>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</si>
  <si>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</si>
  <si>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</si>
  <si>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</si>
  <si>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</si>
  <si>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</si>
  <si>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</si>
  <si>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</si>
  <si>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</si>
  <si>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</si>
  <si>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</si>
  <si>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</si>
  <si>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</si>
  <si>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</si>
  <si>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</si>
  <si>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</si>
  <si>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</si>
  <si>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</si>
  <si>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</si>
  <si>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</si>
  <si>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</si>
  <si>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</si>
  <si>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</si>
  <si>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</si>
  <si>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</si>
  <si>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</si>
  <si>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</si>
  <si>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</si>
  <si>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</si>
  <si>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</si>
  <si>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</si>
  <si>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</si>
  <si>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</si>
  <si>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</si>
  <si>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</si>
  <si>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</si>
  <si>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</si>
  <si>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</si>
  <si>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</si>
  <si>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</si>
  <si>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</si>
  <si>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</si>
  <si>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</si>
  <si>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</si>
  <si>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</si>
  <si>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</si>
  <si>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</si>
  <si>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</si>
  <si>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</si>
  <si>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</si>
  <si>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</si>
  <si>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</si>
  <si>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</si>
  <si>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</si>
  <si>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</si>
  <si>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</si>
  <si>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</si>
  <si>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</si>
  <si>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</si>
  <si>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</si>
  <si>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</si>
  <si>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</si>
  <si>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</si>
  <si>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</si>
  <si>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</si>
  <si>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</si>
  <si>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</si>
  <si>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</si>
  <si>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</si>
  <si>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</si>
  <si>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</si>
  <si>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</si>
  <si>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</si>
  <si>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</si>
  <si>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</si>
  <si>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</si>
  <si>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</si>
  <si>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</si>
  <si>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</si>
  <si>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</si>
  <si>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</si>
  <si>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</si>
  <si>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</si>
  <si>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</si>
  <si>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</si>
  <si>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</si>
  <si>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</si>
  <si>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</si>
  <si>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</si>
  <si>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</si>
  <si>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</si>
  <si>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</si>
  <si>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</si>
  <si>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</si>
  <si>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</si>
  <si>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</si>
  <si>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</si>
  <si>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</si>
  <si>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</si>
  <si>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</si>
  <si>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</si>
  <si>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</si>
  <si>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</si>
  <si>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</si>
  <si>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</si>
  <si>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</si>
  <si>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</si>
  <si>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</si>
  <si>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</si>
  <si>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</si>
  <si>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</si>
  <si>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</si>
  <si>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</si>
  <si>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</si>
  <si>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</si>
  <si>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</si>
  <si>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</si>
  <si>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</si>
  <si>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</si>
  <si>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</si>
  <si>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</si>
  <si>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</si>
  <si>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</si>
  <si>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</si>
  <si>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</si>
  <si>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</si>
  <si>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</si>
  <si>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</si>
  <si>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</si>
  <si>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</si>
  <si>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</si>
  <si>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</si>
  <si>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</si>
  <si>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</si>
  <si>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</si>
  <si>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</si>
  <si>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</si>
  <si>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</si>
  <si>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</si>
  <si>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</si>
  <si>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</si>
  <si>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</si>
  <si>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</si>
  <si>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</si>
  <si>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</si>
  <si>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</si>
  <si>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</si>
  <si>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</si>
  <si>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</si>
  <si>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</si>
  <si>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</si>
  <si>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</si>
  <si>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</si>
  <si>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</si>
  <si>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</si>
  <si>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</si>
  <si>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</si>
  <si>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</si>
  <si>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</si>
  <si>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</si>
  <si>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</si>
  <si>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</si>
  <si>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</si>
  <si>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</si>
  <si>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</si>
  <si>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</si>
  <si>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</si>
  <si>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</si>
  <si>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</si>
  <si>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</si>
  <si>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</si>
  <si>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</si>
  <si>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</si>
  <si>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</si>
  <si>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</si>
  <si>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</si>
  <si>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</si>
  <si>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</si>
  <si>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</si>
  <si>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</si>
  <si>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</si>
  <si>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</si>
  <si>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</si>
  <si>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</si>
  <si>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</si>
  <si>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</si>
  <si>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</si>
  <si>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</si>
  <si>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</si>
  <si>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</si>
  <si>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</si>
  <si>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</si>
  <si>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</si>
  <si>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</si>
  <si>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</si>
  <si>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</si>
  <si>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</si>
  <si>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</si>
  <si>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</si>
  <si>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</si>
  <si>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</si>
  <si>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</si>
  <si>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</si>
  <si>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</si>
  <si>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</si>
  <si>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</si>
  <si>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</si>
  <si>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</si>
  <si>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</si>
  <si>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</si>
  <si>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</si>
  <si>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</si>
  <si>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</si>
  <si>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</si>
  <si>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</si>
  <si>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</si>
  <si>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</si>
  <si>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</si>
  <si>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</si>
  <si>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</si>
  <si>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</si>
  <si>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</si>
  <si>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</si>
  <si>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</si>
  <si>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</si>
  <si>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</si>
  <si>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</si>
  <si>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</si>
  <si>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</si>
  <si>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</si>
  <si>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</si>
  <si>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</si>
  <si>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</si>
  <si>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</si>
  <si>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</si>
  <si>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</si>
  <si>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</si>
  <si>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</si>
  <si>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</si>
  <si>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</si>
  <si>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</si>
  <si>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</si>
  <si>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</si>
  <si>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</si>
  <si>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</si>
  <si>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</si>
  <si>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</si>
  <si>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</si>
  <si>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</si>
  <si>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</si>
  <si>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</si>
  <si>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</si>
  <si>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</si>
  <si>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</si>
  <si>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</si>
  <si>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</si>
  <si>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</si>
  <si>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</si>
  <si>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</si>
  <si>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</si>
  <si>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</si>
  <si>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</si>
  <si>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</si>
  <si>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</si>
  <si>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</si>
  <si>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</si>
  <si>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</si>
  <si>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</si>
  <si>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</si>
  <si>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</si>
  <si>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</si>
  <si>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</si>
  <si>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</si>
  <si>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</si>
  <si>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</si>
  <si>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</si>
  <si>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</si>
  <si>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</si>
  <si>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</si>
  <si>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</si>
  <si>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</si>
  <si>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</si>
  <si>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</si>
  <si>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</si>
  <si>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</si>
  <si>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</si>
  <si>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</si>
  <si>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</si>
  <si>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</si>
  <si>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</si>
  <si>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</si>
  <si>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</si>
  <si>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</si>
  <si>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</si>
  <si>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</si>
  <si>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</si>
  <si>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</si>
  <si>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</si>
  <si>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</si>
  <si>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</si>
  <si>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</si>
  <si>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</si>
  <si>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</si>
  <si>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</si>
  <si>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</si>
  <si>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</si>
  <si>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</si>
  <si>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</si>
  <si>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</si>
  <si>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</si>
  <si>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</si>
  <si>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</si>
  <si>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</si>
  <si>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</si>
  <si>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</si>
  <si>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</si>
  <si>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</si>
  <si>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</si>
  <si>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</si>
  <si>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</si>
  <si>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</si>
  <si>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</si>
  <si>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</si>
  <si>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</si>
  <si>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</si>
  <si>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</si>
  <si>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</si>
  <si>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</si>
  <si>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</si>
  <si>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</si>
  <si>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</si>
  <si>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</si>
  <si>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</si>
  <si>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</si>
  <si>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</si>
  <si>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</si>
  <si>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</si>
  <si>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</si>
  <si>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</si>
  <si>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</si>
  <si>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</si>
  <si>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</si>
  <si>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</si>
  <si>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</si>
  <si>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</si>
  <si>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</si>
  <si>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</si>
  <si>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</si>
  <si>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</si>
  <si>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</si>
  <si>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</si>
  <si>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</si>
  <si>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</si>
  <si>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</si>
  <si>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</si>
  <si>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</si>
  <si>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</si>
  <si>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</si>
  <si>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</si>
  <si>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</si>
  <si>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</si>
  <si>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</si>
  <si>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</si>
  <si>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</si>
  <si>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</si>
  <si>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</si>
  <si>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</si>
  <si>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</si>
  <si>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</si>
  <si>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</si>
  <si>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</si>
  <si>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</si>
  <si>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</si>
  <si>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</si>
  <si>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</si>
  <si>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</si>
  <si>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</si>
  <si>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</si>
  <si>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</si>
  <si>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</si>
  <si>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</si>
  <si>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</si>
  <si>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</si>
  <si>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</si>
  <si>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</si>
  <si>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</si>
  <si>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</si>
  <si>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</si>
  <si>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</si>
  <si>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</si>
  <si>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</si>
  <si>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</si>
  <si>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</si>
  <si>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</si>
  <si>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</si>
  <si>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</si>
  <si>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</si>
  <si>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</si>
  <si>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</si>
  <si>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</si>
  <si>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</si>
  <si>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</si>
  <si>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</si>
  <si>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</si>
  <si>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</si>
  <si>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</si>
  <si>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</si>
  <si>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</si>
  <si>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</si>
  <si>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</si>
  <si>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</si>
  <si>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</si>
  <si>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</si>
  <si>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</si>
  <si>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</si>
  <si>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</si>
  <si>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</si>
  <si>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</si>
  <si>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</si>
  <si>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</si>
  <si>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</si>
  <si>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</si>
  <si>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</si>
  <si>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</si>
  <si>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</si>
  <si>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</si>
  <si>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</si>
  <si>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</si>
  <si>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</si>
  <si>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</si>
  <si>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</si>
  <si>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</si>
  <si>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</si>
  <si>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</si>
  <si>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</si>
  <si>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</si>
  <si>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</si>
  <si>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</si>
  <si>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</si>
  <si>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</si>
  <si>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</si>
  <si>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</si>
  <si>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</si>
  <si>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</si>
  <si>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</si>
  <si>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</si>
  <si>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</si>
  <si>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</si>
  <si>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455: Postúpené pohľadávky z MHSL m.r.o.</t>
  </si>
  <si>
    <t>Vybudovanie výkladnej skrine</t>
  </si>
  <si>
    <t>Fond na podporu umenia - Ora et Ars - Skalka 2018</t>
  </si>
  <si>
    <t>Dotácia z MPSVaR SR na nákup motorového vozidla na prevoz stravy</t>
  </si>
  <si>
    <t>Dotácia SZĽH na obnovu a rekonštrukciu hokejovej infraštruktúry</t>
  </si>
  <si>
    <t>Prípojka vody chata Soblahov</t>
  </si>
  <si>
    <t>Nevyčerpaná dotácia za rok 2017 - vratka do ŠR</t>
  </si>
  <si>
    <t>PD Chodník pri dome smútku Juh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</si>
  <si>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</si>
  <si>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</si>
  <si>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</si>
  <si>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</si>
  <si>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Rekonštrukcia okien</t>
  </si>
  <si>
    <t>Veľkokapacitný krájač</t>
  </si>
  <si>
    <t>nevyčerpaná dotácia za rok 2017 - vratka do ŠR</t>
  </si>
  <si>
    <t>Výmena chladiaceho zariadenia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</si>
  <si>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</si>
  <si>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</si>
  <si>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</si>
  <si>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</si>
  <si>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</si>
  <si>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Nákup motorového vozidla na prevoz stravy</t>
  </si>
  <si>
    <t>Obytné dvojkontajnery</t>
  </si>
  <si>
    <t>453: Prevod nevyčerpaných dotácií z roku 2017</t>
  </si>
  <si>
    <t>Presun zastávok + priechody pre chodcov Gagarinova, Žilinská, Považská</t>
  </si>
  <si>
    <t>Deaflympijský výbor Slovenska - ME v bedmintone nepočujúcich</t>
  </si>
  <si>
    <t>Workoutové prvky pri moste na Ostrove</t>
  </si>
  <si>
    <t>SHŠ Wagus n.o. - Trenčianske historické slávnosti</t>
  </si>
  <si>
    <t>Cyklostojany</t>
  </si>
  <si>
    <t>JK Fit štúdio s.r.o. - Tanečný klub BAMBULA ME Rumunsko</t>
  </si>
  <si>
    <t>KC Kubra - Oslavy 85.výročia FS Kubra</t>
  </si>
  <si>
    <t>Tábory a súťaže</t>
  </si>
  <si>
    <t>Výsadba cibuľovín</t>
  </si>
  <si>
    <t>Frézovanie pňov</t>
  </si>
  <si>
    <t>Vozidlo s polievacou nadstavbou</t>
  </si>
  <si>
    <t>Rehoľa piaristov na Slovensku - dotácia na údržbu kultúrnej pamiatky</t>
  </si>
  <si>
    <t>MŠ Pri Parku - stavebné úpravy</t>
  </si>
  <si>
    <t>Osvetlenie priechodu pre chodcov vrátane bezpečnostných prvkov Ul.Štefánikova pri odbočke na Ul.K Výstavisku</t>
  </si>
  <si>
    <t>Rekonštrukcia elektroinštalácie kuchyne</t>
  </si>
  <si>
    <t>MŠ 28.októbra - rekonštrukcia</t>
  </si>
  <si>
    <t>Strelecký klub Inovec o.z. -ME v diaľkovej streľbe vo Švédsku</t>
  </si>
  <si>
    <t>AS Trenčín a.s. - dotácia na činnosť</t>
  </si>
  <si>
    <t>TJ Družstevník Opatová - dotácia na údržbu futbalového štadióna v Opatovej</t>
  </si>
  <si>
    <t>Ultramax s.r.o. - Módny veľtrh "Trenčín - mesto módy"</t>
  </si>
  <si>
    <t>O.z. Trenčianska jazzová spoločnosť FÉNIX - XXV.Trenčiansky jazzový festival Jazz pod hradom</t>
  </si>
  <si>
    <t>PD Nocľaháreň</t>
  </si>
  <si>
    <t>Župný dom</t>
  </si>
  <si>
    <t>Osvetlenie dvoch priechodov pre chodcov na ul. Východná</t>
  </si>
  <si>
    <t>Chodník na hrádzi od elektrárne po most Ostrov</t>
  </si>
  <si>
    <t>ŠJ Šafárikova - vzduchotechnika</t>
  </si>
  <si>
    <t>DPO SR - dotácia pre DHZ</t>
  </si>
  <si>
    <t>Materiál pre DHZ Opatová</t>
  </si>
  <si>
    <t>Rutinná a štandardná údržba DHZ Záblatie</t>
  </si>
  <si>
    <t>Rutinná a štandardná údržba - Zelené plochy Žabinská</t>
  </si>
  <si>
    <t>Dar od Trenčianska Riviéra s.r.o. - na realizáciu detského ihriska Riviéra</t>
  </si>
  <si>
    <t>Detské ihrisko - Riviéra</t>
  </si>
  <si>
    <t>COOLTURNE o.z.: dotácia na festival Priestor</t>
  </si>
  <si>
    <t>Dar od Leoni Slovakia s.r.o. - na podujatie pri Trenčianskej bráne</t>
  </si>
  <si>
    <t>Paddock Service s.r.o. - dotácia na Festival za Paddockom a zimný Paddock Market</t>
  </si>
  <si>
    <t>Vianočné osvetlenie</t>
  </si>
  <si>
    <t>Klimatizácia Farská</t>
  </si>
  <si>
    <t>Lávka pre peších od Farského kostola na Brezinu</t>
  </si>
  <si>
    <t>Nadácia EPH</t>
  </si>
  <si>
    <t>Fakultná nemocnica Trenčín - dotácia pre ortopedické oddelenie na kongres SOTS</t>
  </si>
  <si>
    <t>MK SR - Súsošie na stĺpe na Mierovom námestí</t>
  </si>
  <si>
    <t>NFP Zelené pľúca mesta - Revitalizácia Parku M.R.Štefánika</t>
  </si>
  <si>
    <t>NFP Stratégia adaptability mesta Trenčín na klimatickú zmenu</t>
  </si>
  <si>
    <t>NFP Zvýšenie mestskej mobility budovaním siete cyklistickej infraštruktúry v Trenčíne: Trasa C - ul. Karpatská</t>
  </si>
  <si>
    <t>NFP Zvýšenie mestskej mobility budovaním siete cyklistickej infraštruktúry v Trenčíne: Chodník a cyklotrasa Kasárenská</t>
  </si>
  <si>
    <t>NFP Zlepšenie enviromentálnych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</si>
  <si>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</si>
  <si>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</si>
  <si>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Zlepšenie enviromentálnych aspektov v meste Trenčín - vybudovanie prvkov zelenej infraštruktúry pri regenerácii vnútrobloku J. Halašu</t>
  </si>
  <si>
    <t>Cyklotrasa Trasa C - ul.Karpatská</t>
  </si>
  <si>
    <t>Chodník a cyklotrasa Kasárenská ul.</t>
  </si>
  <si>
    <t>PD pre stavebné povolenie</t>
  </si>
  <si>
    <t>Obnova MŠ Kubranská 20</t>
  </si>
  <si>
    <t>Vnútroblok Východná ulica</t>
  </si>
  <si>
    <t>Vnútroblok J.Halašu</t>
  </si>
  <si>
    <t>Zelené pľúca mesta - Revitalizácia Parku M.R.Štefánika</t>
  </si>
  <si>
    <t>Južná časť hradobného múru - architektonicko-historický výskum</t>
  </si>
  <si>
    <t>Stratégia adaptability na klimatickú zmenu</t>
  </si>
  <si>
    <t>Oprava strechy kotolne</t>
  </si>
  <si>
    <t>Hmotná núdza - školské potreby, strava</t>
  </si>
  <si>
    <t>Hmotná núdza</t>
  </si>
  <si>
    <t>Rekonštrukcia Hviezdoslavovej ul.</t>
  </si>
  <si>
    <t>EXPO CENTER a.s. - dotácia na Beerfest</t>
  </si>
  <si>
    <t>Komunálne voľby 2018</t>
  </si>
  <si>
    <t>MK SR - projekt Opevnenie mestské</t>
  </si>
  <si>
    <t>Opevnenie mestské</t>
  </si>
  <si>
    <t>Ochranné siete za ihriskom Termion</t>
  </si>
  <si>
    <t>SO pre IROP nábytok + informačno - komunikačné technológie a prístrojové vybavenie</t>
  </si>
  <si>
    <t>Plán udržateľnej mobility funkčného územia krajského mesta Trenčín</t>
  </si>
  <si>
    <t>Úrad vlády SR - dotácia na nákup športovej výbavy do telocvične ZŠ Východná 9 Trenčín</t>
  </si>
  <si>
    <t>Základná škola, Novomeského, Trenčín</t>
  </si>
  <si>
    <t>Plnenie Programového rozpočtu Mesta Trenčín k 31.12.2018</t>
  </si>
  <si>
    <t>Upravený rozpočet na rok 2018</t>
  </si>
  <si>
    <t>% plnenia</t>
  </si>
  <si>
    <t>Plnenie rozpočtu 31.12.2018</t>
  </si>
  <si>
    <t>Rozpočet 2018 spolu</t>
  </si>
  <si>
    <t xml:space="preserve"> % plnenia</t>
  </si>
  <si>
    <t>Bežný rozpočet 2018</t>
  </si>
  <si>
    <t>Kapitálový rozpočet 2018</t>
  </si>
  <si>
    <t>Plnenie bežného rozpočtu k 31.12.2018</t>
  </si>
  <si>
    <t>Plnenie kapitálového rozpočtu k 31.12.2018</t>
  </si>
  <si>
    <t>Plnenie rozpočtu k 31.12.2018</t>
  </si>
  <si>
    <t>Lyžiarsky kurz</t>
  </si>
  <si>
    <t>Škola v prírode</t>
  </si>
  <si>
    <t>VPP</t>
  </si>
  <si>
    <t>Vzdelávacie poukazy</t>
  </si>
  <si>
    <t>Asistenti učiteľov</t>
  </si>
  <si>
    <t>Mimoriadne výsledky žiakov</t>
  </si>
  <si>
    <t>Náklady na žiaka zo soc.znevýhodneného prostredia</t>
  </si>
  <si>
    <t>Príspevok na učebnice</t>
  </si>
  <si>
    <t>Register adries</t>
  </si>
  <si>
    <t>MŠVVaŠ SR - ZŠ Kubranská</t>
  </si>
  <si>
    <t>455: Tebys - odplata za postúpenú pohľadávku</t>
  </si>
  <si>
    <t>456: SSMT m.r.o. - zábezpeky z verejného obstarávania</t>
  </si>
  <si>
    <t>Za prebytočný hnuteľný majetok</t>
  </si>
  <si>
    <t>Z refundácie</t>
  </si>
  <si>
    <t>453: SSMT m.r.o. - Prostriedky z minulých rokov</t>
  </si>
  <si>
    <t>453: ZŠ Bezručova - zostatok na potravinovom účte z roku 2017</t>
  </si>
  <si>
    <t>453: ŠZMT m.r.o. - zostatok na potravinovom účte z roku 2017</t>
  </si>
  <si>
    <t>453: ZŠ Dlhé Hony - zostatok na potravinovom účte z roku 2017</t>
  </si>
  <si>
    <t>453: ZŠ Východná - zostatok na potravinovom účte z roku 2017</t>
  </si>
  <si>
    <t>453: ZŠ Na dolinách - zostatok na potravinovom účte z roku 2017</t>
  </si>
  <si>
    <t>453: ZŠ Kubranská - zostatok na potravinovom účte z roku 2017</t>
  </si>
  <si>
    <t>453: ZŠ Veľkomoravská - zostatok na potravinovom účte z roku 2017</t>
  </si>
  <si>
    <t>453: ZŠ Novomeského - zostatok na potravinovom účte z roku 2017</t>
  </si>
  <si>
    <t>456: MHSL m.r.o. - zábezpeky z verejného obstarávania</t>
  </si>
  <si>
    <t>819: SSMT m.r.o. - zábezpeky z verejného obstarávania</t>
  </si>
  <si>
    <t>453: Výsledok hospodárenia z podnikateľskej činnosti</t>
  </si>
  <si>
    <t>Vratky</t>
  </si>
  <si>
    <t>819: MHLS m.r.o. - zábezpeky z verejného obstarávania</t>
  </si>
  <si>
    <t>Transfery jednotlivcom a neziskovým právnickým os.</t>
  </si>
  <si>
    <t>Upravený rozpočet 2018</t>
  </si>
  <si>
    <t>Schválený rozpočet 2018</t>
  </si>
  <si>
    <t>Školstvo-prenes.komp., mzdy, platy</t>
  </si>
  <si>
    <t>Predškolský vek</t>
  </si>
  <si>
    <t>Matrika</t>
  </si>
  <si>
    <t>Dotácia na stavebný úrad</t>
  </si>
  <si>
    <t>Dotácia na miestne a účelové komunikácie</t>
  </si>
  <si>
    <t xml:space="preserve">Školské úrady </t>
  </si>
  <si>
    <t>Evidencia obyvateľstva</t>
  </si>
  <si>
    <t>Dotácia v obl. bývania</t>
  </si>
  <si>
    <t>Dotácia na životné prostredie</t>
  </si>
  <si>
    <t>821: SLSP a.s. - istina z dohôd o reštrukturalizácii dlhu</t>
  </si>
  <si>
    <t>Schválený bežný rozpočet 2018</t>
  </si>
  <si>
    <t>Upravený bežný rozpočet 2018</t>
  </si>
  <si>
    <t>Schválený kapitálový rozpočet 2018</t>
  </si>
  <si>
    <t>Upravený kapitálový rozpočet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</si>
</sst>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20"/>
      <color indexed="12"/>
      <name val="Tahoma"/>
      <family val="2"/>
      <charset val="238"/>
    </font>
    <font>
      <sz val="8"/>
      <name val="Arial CE"/>
      <charset val="238"/>
    </font>
    <font>
      <b/>
      <sz val="8"/>
      <color indexed="9"/>
      <name val="Arial CE"/>
      <charset val="238"/>
    </font>
    <font>
      <b/>
      <sz val="9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theme="0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3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</cellStyleXfs>
  <cellXfs count="585">
    <xf numFmtId="0" fontId="0" fillId="0" borderId="0" xfId="0"/>
    <xf numFmtId="0" fontId="9" fillId="2" borderId="1" xfId="0" applyFont="1" applyFill="1" applyBorder="1" applyAlignment="1">
      <alignment vertical="center"/>
    </xf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6" fillId="6" borderId="4" xfId="0" applyFont="1" applyFill="1" applyBorder="1" applyAlignment="1"/>
    <xf numFmtId="0" fontId="26" fillId="7" borderId="2" xfId="0" applyFont="1" applyFill="1" applyBorder="1"/>
    <xf numFmtId="0" fontId="28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5" fillId="2" borderId="2" xfId="0" applyNumberFormat="1" applyFont="1" applyFill="1" applyBorder="1" applyAlignment="1">
      <alignment vertical="center"/>
    </xf>
    <xf numFmtId="3" fontId="17" fillId="5" borderId="2" xfId="0" applyNumberFormat="1" applyFont="1" applyFill="1" applyBorder="1" applyAlignment="1"/>
    <xf numFmtId="3" fontId="16" fillId="3" borderId="2" xfId="0" applyNumberFormat="1" applyFont="1" applyFill="1" applyBorder="1" applyAlignment="1"/>
    <xf numFmtId="3" fontId="26" fillId="7" borderId="2" xfId="0" applyNumberFormat="1" applyFont="1" applyFill="1" applyBorder="1"/>
    <xf numFmtId="3" fontId="10" fillId="12" borderId="2" xfId="0" applyNumberFormat="1" applyFont="1" applyFill="1" applyBorder="1"/>
    <xf numFmtId="3" fontId="11" fillId="6" borderId="2" xfId="0" applyNumberFormat="1" applyFont="1" applyFill="1" applyBorder="1"/>
    <xf numFmtId="3" fontId="20" fillId="0" borderId="2" xfId="0" applyNumberFormat="1" applyFont="1" applyBorder="1" applyAlignment="1"/>
    <xf numFmtId="0" fontId="0" fillId="0" borderId="0" xfId="0" applyAlignment="1">
      <alignment vertical="center"/>
    </xf>
    <xf numFmtId="0" fontId="19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2" borderId="2" xfId="0" applyFont="1" applyFill="1" applyBorder="1"/>
    <xf numFmtId="0" fontId="7" fillId="0" borderId="2" xfId="0" applyFont="1" applyBorder="1" applyAlignment="1">
      <alignment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5" fillId="2" borderId="0" xfId="0" applyNumberFormat="1" applyFont="1" applyFill="1" applyBorder="1" applyAlignment="1">
      <alignment vertical="center"/>
    </xf>
    <xf numFmtId="0" fontId="0" fillId="12" borderId="0" xfId="0" applyFill="1" applyBorder="1"/>
    <xf numFmtId="0" fontId="10" fillId="12" borderId="0" xfId="0" applyFont="1" applyFill="1" applyBorder="1"/>
    <xf numFmtId="0" fontId="7" fillId="12" borderId="2" xfId="0" applyFont="1" applyFill="1" applyBorder="1"/>
    <xf numFmtId="0" fontId="24" fillId="8" borderId="8" xfId="0" applyFont="1" applyFill="1" applyBorder="1" applyAlignment="1"/>
    <xf numFmtId="0" fontId="0" fillId="0" borderId="9" xfId="0" applyBorder="1" applyAlignment="1"/>
    <xf numFmtId="3" fontId="1" fillId="12" borderId="0" xfId="0" applyNumberFormat="1" applyFont="1" applyFill="1" applyBorder="1"/>
    <xf numFmtId="0" fontId="26" fillId="13" borderId="2" xfId="0" applyFont="1" applyFill="1" applyBorder="1"/>
    <xf numFmtId="3" fontId="26" fillId="13" borderId="2" xfId="0" applyNumberFormat="1" applyFont="1" applyFill="1" applyBorder="1"/>
    <xf numFmtId="3" fontId="7" fillId="12" borderId="2" xfId="0" applyNumberFormat="1" applyFont="1" applyFill="1" applyBorder="1"/>
    <xf numFmtId="0" fontId="32" fillId="5" borderId="3" xfId="0" applyFont="1" applyFill="1" applyBorder="1"/>
    <xf numFmtId="0" fontId="32" fillId="6" borderId="4" xfId="0" applyFont="1" applyFill="1" applyBorder="1" applyAlignment="1"/>
    <xf numFmtId="0" fontId="32" fillId="4" borderId="2" xfId="0" applyFont="1" applyFill="1" applyBorder="1"/>
    <xf numFmtId="0" fontId="32" fillId="0" borderId="2" xfId="0" applyFont="1" applyBorder="1"/>
    <xf numFmtId="0" fontId="1" fillId="0" borderId="2" xfId="0" applyFont="1" applyBorder="1"/>
    <xf numFmtId="0" fontId="32" fillId="4" borderId="5" xfId="0" applyFont="1" applyFill="1" applyBorder="1"/>
    <xf numFmtId="0" fontId="32" fillId="4" borderId="3" xfId="0" applyFont="1" applyFill="1" applyBorder="1"/>
    <xf numFmtId="0" fontId="32" fillId="0" borderId="5" xfId="0" applyFont="1" applyBorder="1"/>
    <xf numFmtId="0" fontId="32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2" fillId="6" borderId="10" xfId="0" applyFont="1" applyFill="1" applyBorder="1" applyAlignment="1"/>
    <xf numFmtId="0" fontId="32" fillId="6" borderId="11" xfId="0" applyFont="1" applyFill="1" applyBorder="1" applyAlignment="1"/>
    <xf numFmtId="49" fontId="30" fillId="12" borderId="0" xfId="0" applyNumberFormat="1" applyFont="1" applyFill="1" applyBorder="1" applyAlignment="1">
      <alignment horizontal="center" vertical="center"/>
    </xf>
    <xf numFmtId="3" fontId="18" fillId="12" borderId="0" xfId="0" applyNumberFormat="1" applyFont="1" applyFill="1" applyBorder="1" applyAlignment="1">
      <alignment horizontal="center" vertical="center" wrapText="1"/>
    </xf>
    <xf numFmtId="3" fontId="0" fillId="12" borderId="0" xfId="0" applyNumberFormat="1" applyFill="1" applyBorder="1"/>
    <xf numFmtId="0" fontId="7" fillId="0" borderId="12" xfId="0" applyFont="1" applyBorder="1"/>
    <xf numFmtId="0" fontId="7" fillId="0" borderId="14" xfId="0" applyFont="1" applyBorder="1"/>
    <xf numFmtId="3" fontId="17" fillId="5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2" borderId="2" xfId="0" applyNumberFormat="1" applyFont="1" applyFill="1" applyBorder="1" applyAlignment="1">
      <alignment vertical="center"/>
    </xf>
    <xf numFmtId="3" fontId="15" fillId="2" borderId="15" xfId="0" applyNumberFormat="1" applyFont="1" applyFill="1" applyBorder="1" applyAlignment="1">
      <alignment vertical="center"/>
    </xf>
    <xf numFmtId="3" fontId="26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29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49" fontId="10" fillId="0" borderId="6" xfId="0" applyNumberFormat="1" applyFont="1" applyBorder="1" applyAlignment="1">
      <alignment horizontal="center"/>
    </xf>
    <xf numFmtId="0" fontId="38" fillId="0" borderId="5" xfId="0" applyFont="1" applyBorder="1" applyAlignment="1"/>
    <xf numFmtId="3" fontId="16" fillId="14" borderId="2" xfId="0" applyNumberFormat="1" applyFont="1" applyFill="1" applyBorder="1"/>
    <xf numFmtId="0" fontId="35" fillId="5" borderId="19" xfId="0" applyFont="1" applyFill="1" applyBorder="1"/>
    <xf numFmtId="0" fontId="19" fillId="5" borderId="20" xfId="0" applyFont="1" applyFill="1" applyBorder="1"/>
    <xf numFmtId="3" fontId="16" fillId="14" borderId="21" xfId="0" applyNumberFormat="1" applyFont="1" applyFill="1" applyBorder="1"/>
    <xf numFmtId="0" fontId="35" fillId="5" borderId="14" xfId="0" applyFont="1" applyFill="1" applyBorder="1"/>
    <xf numFmtId="0" fontId="31" fillId="0" borderId="14" xfId="0" applyFont="1" applyBorder="1" applyAlignment="1"/>
    <xf numFmtId="0" fontId="7" fillId="0" borderId="22" xfId="0" applyFont="1" applyBorder="1"/>
    <xf numFmtId="3" fontId="7" fillId="0" borderId="15" xfId="0" applyNumberFormat="1" applyFont="1" applyBorder="1" applyAlignment="1">
      <alignment vertical="center"/>
    </xf>
    <xf numFmtId="3" fontId="10" fillId="0" borderId="15" xfId="0" applyNumberFormat="1" applyFont="1" applyFill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" fillId="0" borderId="14" xfId="0" applyFont="1" applyBorder="1" applyAlignment="1">
      <alignment horizontal="center"/>
    </xf>
    <xf numFmtId="3" fontId="7" fillId="0" borderId="15" xfId="0" applyNumberFormat="1" applyFont="1" applyFill="1" applyBorder="1"/>
    <xf numFmtId="0" fontId="34" fillId="2" borderId="23" xfId="0" applyFont="1" applyFill="1" applyBorder="1" applyAlignment="1">
      <alignment vertical="center"/>
    </xf>
    <xf numFmtId="0" fontId="34" fillId="2" borderId="6" xfId="0" applyFont="1" applyFill="1" applyBorder="1" applyAlignment="1">
      <alignment vertical="center"/>
    </xf>
    <xf numFmtId="0" fontId="34" fillId="2" borderId="18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/>
    </xf>
    <xf numFmtId="0" fontId="22" fillId="6" borderId="27" xfId="0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5" fillId="5" borderId="14" xfId="0" applyFont="1" applyFill="1" applyBorder="1" applyAlignment="1">
      <alignment vertical="center"/>
    </xf>
    <xf numFmtId="3" fontId="16" fillId="5" borderId="2" xfId="0" applyNumberFormat="1" applyFont="1" applyFill="1" applyBorder="1" applyAlignment="1">
      <alignment vertical="center"/>
    </xf>
    <xf numFmtId="3" fontId="16" fillId="14" borderId="2" xfId="0" applyNumberFormat="1" applyFont="1" applyFill="1" applyBorder="1" applyAlignment="1">
      <alignment vertical="center"/>
    </xf>
    <xf numFmtId="0" fontId="35" fillId="5" borderId="16" xfId="0" applyFont="1" applyFill="1" applyBorder="1" applyAlignment="1">
      <alignment vertical="center"/>
    </xf>
    <xf numFmtId="3" fontId="16" fillId="5" borderId="6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vertical="center"/>
    </xf>
    <xf numFmtId="0" fontId="40" fillId="5" borderId="5" xfId="0" applyFont="1" applyFill="1" applyBorder="1" applyAlignment="1">
      <alignment vertical="center" wrapText="1"/>
    </xf>
    <xf numFmtId="0" fontId="40" fillId="5" borderId="23" xfId="0" applyFont="1" applyFill="1" applyBorder="1" applyAlignment="1">
      <alignment vertical="center" wrapText="1"/>
    </xf>
    <xf numFmtId="3" fontId="17" fillId="15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8" xfId="0" applyFont="1" applyBorder="1"/>
    <xf numFmtId="3" fontId="45" fillId="0" borderId="6" xfId="0" applyNumberFormat="1" applyFont="1" applyBorder="1"/>
    <xf numFmtId="3" fontId="1" fillId="0" borderId="2" xfId="0" applyNumberFormat="1" applyFont="1" applyBorder="1"/>
    <xf numFmtId="0" fontId="10" fillId="0" borderId="29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2" fillId="4" borderId="30" xfId="0" applyFont="1" applyFill="1" applyBorder="1"/>
    <xf numFmtId="0" fontId="32" fillId="6" borderId="31" xfId="0" applyFont="1" applyFill="1" applyBorder="1" applyAlignment="1"/>
    <xf numFmtId="0" fontId="32" fillId="0" borderId="30" xfId="0" applyFont="1" applyBorder="1"/>
    <xf numFmtId="0" fontId="46" fillId="12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7" fillId="5" borderId="6" xfId="0" applyFont="1" applyFill="1" applyBorder="1" applyAlignment="1"/>
    <xf numFmtId="3" fontId="17" fillId="5" borderId="6" xfId="0" applyNumberFormat="1" applyFont="1" applyFill="1" applyBorder="1" applyAlignment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0" xfId="0" applyBorder="1"/>
    <xf numFmtId="3" fontId="1" fillId="0" borderId="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0" fontId="34" fillId="2" borderId="50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29" fillId="0" borderId="2" xfId="0" applyNumberFormat="1" applyFont="1" applyBorder="1"/>
    <xf numFmtId="0" fontId="7" fillId="0" borderId="24" xfId="0" applyFont="1" applyBorder="1"/>
    <xf numFmtId="0" fontId="10" fillId="0" borderId="1" xfId="0" applyFont="1" applyBorder="1" applyAlignment="1">
      <alignment horizontal="center"/>
    </xf>
    <xf numFmtId="0" fontId="29" fillId="0" borderId="59" xfId="0" applyFont="1" applyBorder="1"/>
    <xf numFmtId="3" fontId="45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4" fillId="8" borderId="5" xfId="0" applyFont="1" applyFill="1" applyBorder="1" applyAlignment="1"/>
    <xf numFmtId="3" fontId="1" fillId="0" borderId="15" xfId="0" applyNumberFormat="1" applyFont="1" applyFill="1" applyBorder="1"/>
    <xf numFmtId="0" fontId="11" fillId="0" borderId="5" xfId="0" applyFont="1" applyFill="1" applyBorder="1"/>
    <xf numFmtId="49" fontId="10" fillId="0" borderId="1" xfId="0" applyNumberFormat="1" applyFont="1" applyBorder="1" applyAlignment="1">
      <alignment horizontal="center"/>
    </xf>
    <xf numFmtId="0" fontId="32" fillId="4" borderId="1" xfId="0" applyFont="1" applyFill="1" applyBorder="1"/>
    <xf numFmtId="0" fontId="32" fillId="0" borderId="2" xfId="0" applyFont="1" applyFill="1" applyBorder="1" applyAlignment="1"/>
    <xf numFmtId="0" fontId="26" fillId="6" borderId="10" xfId="0" applyFont="1" applyFill="1" applyBorder="1" applyAlignment="1"/>
    <xf numFmtId="0" fontId="11" fillId="0" borderId="5" xfId="0" applyFont="1" applyBorder="1"/>
    <xf numFmtId="0" fontId="9" fillId="2" borderId="23" xfId="0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7" xfId="0" applyFont="1" applyBorder="1"/>
    <xf numFmtId="0" fontId="7" fillId="0" borderId="1" xfId="0" applyFont="1" applyBorder="1"/>
    <xf numFmtId="0" fontId="11" fillId="0" borderId="2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/>
    <xf numFmtId="0" fontId="10" fillId="0" borderId="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29" fillId="0" borderId="2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0" fontId="11" fillId="0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0" fontId="1" fillId="0" borderId="0" xfId="0" applyFont="1" applyBorder="1"/>
    <xf numFmtId="0" fontId="7" fillId="0" borderId="0" xfId="0" applyFont="1" applyBorder="1"/>
    <xf numFmtId="0" fontId="1" fillId="0" borderId="49" xfId="0" applyFont="1" applyBorder="1"/>
    <xf numFmtId="0" fontId="0" fillId="0" borderId="7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24" fillId="8" borderId="5" xfId="0" applyFont="1" applyFill="1" applyBorder="1" applyAlignment="1"/>
    <xf numFmtId="3" fontId="11" fillId="0" borderId="5" xfId="0" applyNumberFormat="1" applyFont="1" applyFill="1" applyBorder="1"/>
    <xf numFmtId="3" fontId="7" fillId="0" borderId="5" xfId="0" applyNumberFormat="1" applyFont="1" applyBorder="1"/>
    <xf numFmtId="3" fontId="10" fillId="0" borderId="5" xfId="0" applyNumberFormat="1" applyFont="1" applyBorder="1"/>
    <xf numFmtId="3" fontId="50" fillId="12" borderId="0" xfId="0" applyNumberFormat="1" applyFont="1" applyFill="1" applyBorder="1" applyAlignment="1">
      <alignment horizontal="center" vertical="center" wrapText="1"/>
    </xf>
    <xf numFmtId="3" fontId="15" fillId="12" borderId="0" xfId="0" applyNumberFormat="1" applyFont="1" applyFill="1" applyBorder="1" applyAlignment="1">
      <alignment vertical="center"/>
    </xf>
    <xf numFmtId="3" fontId="7" fillId="12" borderId="5" xfId="0" applyNumberFormat="1" applyFont="1" applyFill="1" applyBorder="1"/>
    <xf numFmtId="164" fontId="48" fillId="12" borderId="15" xfId="0" applyNumberFormat="1" applyFont="1" applyFill="1" applyBorder="1" applyAlignment="1">
      <alignment vertical="center"/>
    </xf>
    <xf numFmtId="164" fontId="1" fillId="12" borderId="15" xfId="0" applyNumberFormat="1" applyFont="1" applyFill="1" applyBorder="1"/>
    <xf numFmtId="3" fontId="10" fillId="0" borderId="5" xfId="0" applyNumberFormat="1" applyFont="1" applyBorder="1" applyAlignment="1">
      <alignment vertical="center"/>
    </xf>
    <xf numFmtId="3" fontId="10" fillId="12" borderId="2" xfId="0" applyNumberFormat="1" applyFont="1" applyFill="1" applyBorder="1" applyAlignment="1">
      <alignment vertical="center"/>
    </xf>
    <xf numFmtId="3" fontId="16" fillId="14" borderId="20" xfId="0" applyNumberFormat="1" applyFont="1" applyFill="1" applyBorder="1"/>
    <xf numFmtId="3" fontId="16" fillId="5" borderId="23" xfId="0" applyNumberFormat="1" applyFont="1" applyFill="1" applyBorder="1" applyAlignment="1">
      <alignment vertical="center"/>
    </xf>
    <xf numFmtId="3" fontId="52" fillId="18" borderId="51" xfId="0" applyNumberFormat="1" applyFont="1" applyFill="1" applyBorder="1" applyAlignment="1">
      <alignment horizontal="center" vertical="center" wrapText="1"/>
    </xf>
    <xf numFmtId="3" fontId="18" fillId="18" borderId="48" xfId="0" applyNumberFormat="1" applyFont="1" applyFill="1" applyBorder="1" applyAlignment="1">
      <alignment horizontal="center" vertical="center" wrapText="1"/>
    </xf>
    <xf numFmtId="3" fontId="1" fillId="12" borderId="37" xfId="0" applyNumberFormat="1" applyFont="1" applyFill="1" applyBorder="1" applyAlignment="1">
      <alignment horizontal="center" vertical="center" wrapText="1"/>
    </xf>
    <xf numFmtId="3" fontId="52" fillId="18" borderId="42" xfId="0" applyNumberFormat="1" applyFont="1" applyFill="1" applyBorder="1" applyAlignment="1">
      <alignment horizontal="center" vertical="center" wrapText="1"/>
    </xf>
    <xf numFmtId="3" fontId="1" fillId="12" borderId="61" xfId="0" applyNumberFormat="1" applyFont="1" applyFill="1" applyBorder="1" applyAlignment="1">
      <alignment horizontal="center" vertical="center" wrapText="1"/>
    </xf>
    <xf numFmtId="164" fontId="48" fillId="12" borderId="15" xfId="0" applyNumberFormat="1" applyFont="1" applyFill="1" applyBorder="1" applyAlignment="1">
      <alignment wrapText="1"/>
    </xf>
    <xf numFmtId="164" fontId="48" fillId="12" borderId="5" xfId="0" applyNumberFormat="1" applyFont="1" applyFill="1" applyBorder="1" applyAlignment="1">
      <alignment wrapText="1"/>
    </xf>
    <xf numFmtId="0" fontId="0" fillId="17" borderId="58" xfId="0" applyFill="1" applyBorder="1" applyAlignment="1"/>
    <xf numFmtId="0" fontId="0" fillId="16" borderId="9" xfId="0" applyFill="1" applyBorder="1" applyAlignment="1"/>
    <xf numFmtId="0" fontId="0" fillId="16" borderId="7" xfId="0" applyFill="1" applyBorder="1" applyAlignment="1"/>
    <xf numFmtId="0" fontId="10" fillId="0" borderId="50" xfId="0" applyFont="1" applyBorder="1"/>
    <xf numFmtId="3" fontId="26" fillId="5" borderId="7" xfId="0" applyNumberFormat="1" applyFont="1" applyFill="1" applyBorder="1"/>
    <xf numFmtId="3" fontId="26" fillId="6" borderId="10" xfId="0" applyNumberFormat="1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3" fillId="4" borderId="20" xfId="0" applyNumberFormat="1" applyFont="1" applyFill="1" applyBorder="1"/>
    <xf numFmtId="3" fontId="7" fillId="0" borderId="64" xfId="0" applyNumberFormat="1" applyFont="1" applyBorder="1"/>
    <xf numFmtId="3" fontId="7" fillId="0" borderId="0" xfId="0" applyNumberFormat="1" applyFont="1" applyBorder="1"/>
    <xf numFmtId="3" fontId="7" fillId="0" borderId="23" xfId="0" applyNumberFormat="1" applyFont="1" applyBorder="1"/>
    <xf numFmtId="3" fontId="2" fillId="5" borderId="7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3" fontId="10" fillId="0" borderId="62" xfId="0" applyNumberFormat="1" applyFont="1" applyBorder="1"/>
    <xf numFmtId="3" fontId="26" fillId="6" borderId="65" xfId="0" applyNumberFormat="1" applyFont="1" applyFill="1" applyBorder="1" applyAlignment="1"/>
    <xf numFmtId="3" fontId="7" fillId="0" borderId="62" xfId="0" applyNumberFormat="1" applyFont="1" applyBorder="1"/>
    <xf numFmtId="3" fontId="36" fillId="2" borderId="23" xfId="0" applyNumberFormat="1" applyFont="1" applyFill="1" applyBorder="1" applyAlignment="1">
      <alignment vertical="center"/>
    </xf>
    <xf numFmtId="3" fontId="26" fillId="5" borderId="2" xfId="0" applyNumberFormat="1" applyFont="1" applyFill="1" applyBorder="1"/>
    <xf numFmtId="3" fontId="26" fillId="6" borderId="31" xfId="0" applyNumberFormat="1" applyFont="1" applyFill="1" applyBorder="1" applyAlignment="1"/>
    <xf numFmtId="3" fontId="3" fillId="4" borderId="2" xfId="0" applyNumberFormat="1" applyFont="1" applyFill="1" applyBorder="1"/>
    <xf numFmtId="3" fontId="3" fillId="4" borderId="21" xfId="0" applyNumberFormat="1" applyFont="1" applyFill="1" applyBorder="1"/>
    <xf numFmtId="3" fontId="7" fillId="0" borderId="50" xfId="0" applyNumberFormat="1" applyFont="1" applyBorder="1"/>
    <xf numFmtId="3" fontId="7" fillId="0" borderId="49" xfId="0" applyNumberFormat="1" applyFont="1" applyBorder="1"/>
    <xf numFmtId="3" fontId="2" fillId="5" borderId="2" xfId="0" applyNumberFormat="1" applyFont="1" applyFill="1" applyBorder="1"/>
    <xf numFmtId="3" fontId="10" fillId="0" borderId="49" xfId="0" applyNumberFormat="1" applyFont="1" applyBorder="1"/>
    <xf numFmtId="164" fontId="1" fillId="12" borderId="13" xfId="0" applyNumberFormat="1" applyFont="1" applyFill="1" applyBorder="1"/>
    <xf numFmtId="3" fontId="36" fillId="2" borderId="6" xfId="0" applyNumberFormat="1" applyFont="1" applyFill="1" applyBorder="1" applyAlignment="1">
      <alignment vertical="center"/>
    </xf>
    <xf numFmtId="164" fontId="1" fillId="12" borderId="17" xfId="0" applyNumberFormat="1" applyFont="1" applyFill="1" applyBorder="1"/>
    <xf numFmtId="3" fontId="11" fillId="0" borderId="5" xfId="0" applyNumberFormat="1" applyFont="1" applyBorder="1" applyAlignment="1">
      <alignment vertical="center"/>
    </xf>
    <xf numFmtId="3" fontId="10" fillId="0" borderId="28" xfId="0" applyNumberFormat="1" applyFont="1" applyBorder="1"/>
    <xf numFmtId="3" fontId="36" fillId="2" borderId="64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36" fillId="2" borderId="50" xfId="0" applyNumberFormat="1" applyFont="1" applyFill="1" applyBorder="1" applyAlignment="1">
      <alignment vertical="center"/>
    </xf>
    <xf numFmtId="3" fontId="36" fillId="2" borderId="28" xfId="0" applyNumberFormat="1" applyFont="1" applyFill="1" applyBorder="1" applyAlignment="1">
      <alignment vertical="center"/>
    </xf>
    <xf numFmtId="3" fontId="37" fillId="6" borderId="57" xfId="0" applyNumberFormat="1" applyFont="1" applyFill="1" applyBorder="1"/>
    <xf numFmtId="3" fontId="36" fillId="2" borderId="1" xfId="0" applyNumberFormat="1" applyFont="1" applyFill="1" applyBorder="1" applyAlignment="1">
      <alignment vertical="center"/>
    </xf>
    <xf numFmtId="3" fontId="37" fillId="6" borderId="27" xfId="0" applyNumberFormat="1" applyFont="1" applyFill="1" applyBorder="1"/>
    <xf numFmtId="164" fontId="48" fillId="12" borderId="17" xfId="0" applyNumberFormat="1" applyFont="1" applyFill="1" applyBorder="1" applyAlignment="1">
      <alignment vertical="center"/>
    </xf>
    <xf numFmtId="49" fontId="12" fillId="12" borderId="0" xfId="0" applyNumberFormat="1" applyFont="1" applyFill="1" applyBorder="1" applyAlignment="1">
      <alignment horizontal="center" vertical="center"/>
    </xf>
    <xf numFmtId="3" fontId="17" fillId="12" borderId="0" xfId="0" applyNumberFormat="1" applyFont="1" applyFill="1" applyBorder="1" applyAlignment="1"/>
    <xf numFmtId="3" fontId="16" fillId="12" borderId="0" xfId="0" applyNumberFormat="1" applyFont="1" applyFill="1" applyBorder="1" applyAlignment="1"/>
    <xf numFmtId="3" fontId="11" fillId="12" borderId="0" xfId="0" applyNumberFormat="1" applyFont="1" applyFill="1" applyBorder="1"/>
    <xf numFmtId="3" fontId="7" fillId="12" borderId="0" xfId="0" applyNumberFormat="1" applyFont="1" applyFill="1" applyBorder="1"/>
    <xf numFmtId="3" fontId="10" fillId="12" borderId="0" xfId="0" applyNumberFormat="1" applyFont="1" applyFill="1" applyBorder="1"/>
    <xf numFmtId="3" fontId="17" fillId="12" borderId="62" xfId="0" applyNumberFormat="1" applyFont="1" applyFill="1" applyBorder="1" applyAlignment="1"/>
    <xf numFmtId="3" fontId="16" fillId="12" borderId="62" xfId="0" applyNumberFormat="1" applyFont="1" applyFill="1" applyBorder="1" applyAlignment="1"/>
    <xf numFmtId="3" fontId="11" fillId="12" borderId="62" xfId="0" applyNumberFormat="1" applyFont="1" applyFill="1" applyBorder="1"/>
    <xf numFmtId="3" fontId="7" fillId="12" borderId="62" xfId="0" applyNumberFormat="1" applyFont="1" applyFill="1" applyBorder="1"/>
    <xf numFmtId="3" fontId="10" fillId="12" borderId="62" xfId="0" applyNumberFormat="1" applyFont="1" applyFill="1" applyBorder="1"/>
    <xf numFmtId="3" fontId="15" fillId="2" borderId="14" xfId="0" applyNumberFormat="1" applyFont="1" applyFill="1" applyBorder="1" applyAlignment="1">
      <alignment vertical="center"/>
    </xf>
    <xf numFmtId="3" fontId="17" fillId="5" borderId="14" xfId="0" applyNumberFormat="1" applyFont="1" applyFill="1" applyBorder="1" applyAlignment="1"/>
    <xf numFmtId="3" fontId="16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7" fillId="5" borderId="16" xfId="0" applyNumberFormat="1" applyFont="1" applyFill="1" applyBorder="1" applyAlignment="1"/>
    <xf numFmtId="3" fontId="15" fillId="12" borderId="62" xfId="0" applyNumberFormat="1" applyFont="1" applyFill="1" applyBorder="1" applyAlignment="1">
      <alignment vertical="center"/>
    </xf>
    <xf numFmtId="3" fontId="11" fillId="0" borderId="14" xfId="0" applyNumberFormat="1" applyFont="1" applyBorder="1"/>
    <xf numFmtId="3" fontId="10" fillId="0" borderId="16" xfId="0" applyNumberFormat="1" applyFont="1" applyBorder="1"/>
    <xf numFmtId="3" fontId="15" fillId="2" borderId="68" xfId="0" applyNumberFormat="1" applyFont="1" applyFill="1" applyBorder="1" applyAlignment="1">
      <alignment vertical="center"/>
    </xf>
    <xf numFmtId="3" fontId="15" fillId="2" borderId="69" xfId="0" applyNumberFormat="1" applyFont="1" applyFill="1" applyBorder="1" applyAlignment="1">
      <alignment vertical="center"/>
    </xf>
    <xf numFmtId="164" fontId="48" fillId="12" borderId="70" xfId="0" applyNumberFormat="1" applyFont="1" applyFill="1" applyBorder="1" applyAlignment="1">
      <alignment vertical="center"/>
    </xf>
    <xf numFmtId="164" fontId="1" fillId="12" borderId="70" xfId="0" applyNumberFormat="1" applyFont="1" applyFill="1" applyBorder="1"/>
    <xf numFmtId="3" fontId="26" fillId="12" borderId="62" xfId="0" applyNumberFormat="1" applyFont="1" applyFill="1" applyBorder="1"/>
    <xf numFmtId="3" fontId="10" fillId="12" borderId="62" xfId="0" applyNumberFormat="1" applyFont="1" applyFill="1" applyBorder="1" applyAlignment="1">
      <alignment vertical="center"/>
    </xf>
    <xf numFmtId="3" fontId="7" fillId="12" borderId="14" xfId="0" applyNumberFormat="1" applyFont="1" applyFill="1" applyBorder="1"/>
    <xf numFmtId="3" fontId="10" fillId="0" borderId="14" xfId="0" applyNumberFormat="1" applyFont="1" applyFill="1" applyBorder="1"/>
    <xf numFmtId="3" fontId="26" fillId="7" borderId="14" xfId="0" applyNumberFormat="1" applyFont="1" applyFill="1" applyBorder="1"/>
    <xf numFmtId="3" fontId="7" fillId="0" borderId="14" xfId="0" applyNumberFormat="1" applyFont="1" applyFill="1" applyBorder="1"/>
    <xf numFmtId="3" fontId="10" fillId="0" borderId="14" xfId="0" applyNumberFormat="1" applyFont="1" applyBorder="1" applyAlignment="1">
      <alignment vertical="center"/>
    </xf>
    <xf numFmtId="3" fontId="15" fillId="2" borderId="71" xfId="0" applyNumberFormat="1" applyFont="1" applyFill="1" applyBorder="1" applyAlignment="1">
      <alignment vertical="center"/>
    </xf>
    <xf numFmtId="3" fontId="17" fillId="5" borderId="71" xfId="0" applyNumberFormat="1" applyFont="1" applyFill="1" applyBorder="1" applyAlignment="1"/>
    <xf numFmtId="3" fontId="11" fillId="0" borderId="71" xfId="0" applyNumberFormat="1" applyFont="1" applyFill="1" applyBorder="1"/>
    <xf numFmtId="3" fontId="7" fillId="0" borderId="71" xfId="0" applyNumberFormat="1" applyFont="1" applyBorder="1"/>
    <xf numFmtId="3" fontId="16" fillId="3" borderId="71" xfId="0" applyNumberFormat="1" applyFont="1" applyFill="1" applyBorder="1" applyAlignment="1"/>
    <xf numFmtId="3" fontId="10" fillId="0" borderId="71" xfId="0" applyNumberFormat="1" applyFont="1" applyBorder="1"/>
    <xf numFmtId="3" fontId="26" fillId="7" borderId="71" xfId="0" applyNumberFormat="1" applyFont="1" applyFill="1" applyBorder="1"/>
    <xf numFmtId="3" fontId="7" fillId="0" borderId="71" xfId="0" applyNumberFormat="1" applyFont="1" applyFill="1" applyBorder="1"/>
    <xf numFmtId="3" fontId="7" fillId="0" borderId="71" xfId="0" applyNumberFormat="1" applyFont="1" applyBorder="1" applyAlignment="1">
      <alignment vertical="center"/>
    </xf>
    <xf numFmtId="3" fontId="10" fillId="0" borderId="72" xfId="0" applyNumberFormat="1" applyFont="1" applyBorder="1"/>
    <xf numFmtId="164" fontId="1" fillId="12" borderId="66" xfId="0" applyNumberFormat="1" applyFont="1" applyFill="1" applyBorder="1"/>
    <xf numFmtId="164" fontId="1" fillId="12" borderId="67" xfId="0" applyNumberFormat="1" applyFont="1" applyFill="1" applyBorder="1"/>
    <xf numFmtId="3" fontId="15" fillId="12" borderId="34" xfId="0" applyNumberFormat="1" applyFont="1" applyFill="1" applyBorder="1" applyAlignment="1">
      <alignment vertical="center"/>
    </xf>
    <xf numFmtId="3" fontId="17" fillId="12" borderId="34" xfId="0" applyNumberFormat="1" applyFont="1" applyFill="1" applyBorder="1" applyAlignment="1"/>
    <xf numFmtId="3" fontId="11" fillId="12" borderId="34" xfId="0" applyNumberFormat="1" applyFont="1" applyFill="1" applyBorder="1"/>
    <xf numFmtId="3" fontId="7" fillId="12" borderId="34" xfId="0" applyNumberFormat="1" applyFont="1" applyFill="1" applyBorder="1"/>
    <xf numFmtId="3" fontId="26" fillId="12" borderId="34" xfId="0" applyNumberFormat="1" applyFont="1" applyFill="1" applyBorder="1"/>
    <xf numFmtId="3" fontId="10" fillId="12" borderId="34" xfId="0" applyNumberFormat="1" applyFont="1" applyFill="1" applyBorder="1"/>
    <xf numFmtId="3" fontId="7" fillId="0" borderId="16" xfId="0" applyNumberFormat="1" applyFont="1" applyBorder="1"/>
    <xf numFmtId="3" fontId="15" fillId="2" borderId="74" xfId="0" applyNumberFormat="1" applyFont="1" applyFill="1" applyBorder="1" applyAlignment="1">
      <alignment vertical="center"/>
    </xf>
    <xf numFmtId="3" fontId="17" fillId="5" borderId="74" xfId="0" applyNumberFormat="1" applyFont="1" applyFill="1" applyBorder="1" applyAlignment="1"/>
    <xf numFmtId="3" fontId="11" fillId="0" borderId="74" xfId="0" applyNumberFormat="1" applyFont="1" applyFill="1" applyBorder="1"/>
    <xf numFmtId="3" fontId="7" fillId="0" borderId="74" xfId="0" applyNumberFormat="1" applyFont="1" applyBorder="1"/>
    <xf numFmtId="3" fontId="26" fillId="7" borderId="74" xfId="0" applyNumberFormat="1" applyFont="1" applyFill="1" applyBorder="1"/>
    <xf numFmtId="3" fontId="10" fillId="0" borderId="74" xfId="0" applyNumberFormat="1" applyFont="1" applyBorder="1"/>
    <xf numFmtId="3" fontId="7" fillId="0" borderId="75" xfId="0" applyNumberFormat="1" applyFont="1" applyBorder="1"/>
    <xf numFmtId="3" fontId="1" fillId="12" borderId="62" xfId="0" applyNumberFormat="1" applyFont="1" applyFill="1" applyBorder="1"/>
    <xf numFmtId="3" fontId="7" fillId="12" borderId="62" xfId="0" applyNumberFormat="1" applyFont="1" applyFill="1" applyBorder="1" applyAlignment="1">
      <alignment vertical="center"/>
    </xf>
    <xf numFmtId="3" fontId="1" fillId="0" borderId="14" xfId="0" applyNumberFormat="1" applyFont="1" applyFill="1" applyBorder="1"/>
    <xf numFmtId="3" fontId="7" fillId="0" borderId="14" xfId="0" applyNumberFormat="1" applyFont="1" applyBorder="1" applyAlignment="1">
      <alignment vertical="center"/>
    </xf>
    <xf numFmtId="3" fontId="7" fillId="0" borderId="74" xfId="0" applyNumberFormat="1" applyFont="1" applyFill="1" applyBorder="1"/>
    <xf numFmtId="3" fontId="1" fillId="0" borderId="74" xfId="0" applyNumberFormat="1" applyFont="1" applyFill="1" applyBorder="1"/>
    <xf numFmtId="3" fontId="7" fillId="0" borderId="74" xfId="0" applyNumberFormat="1" applyFont="1" applyBorder="1" applyAlignment="1">
      <alignment vertical="center"/>
    </xf>
    <xf numFmtId="3" fontId="10" fillId="0" borderId="75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26" fillId="12" borderId="0" xfId="0" applyNumberFormat="1" applyFont="1" applyFill="1" applyBorder="1"/>
    <xf numFmtId="3" fontId="10" fillId="12" borderId="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12" borderId="14" xfId="0" applyNumberFormat="1" applyFont="1" applyFill="1" applyBorder="1"/>
    <xf numFmtId="3" fontId="29" fillId="12" borderId="62" xfId="0" applyNumberFormat="1" applyFont="1" applyFill="1" applyBorder="1"/>
    <xf numFmtId="3" fontId="11" fillId="6" borderId="14" xfId="0" applyNumberFormat="1" applyFont="1" applyFill="1" applyBorder="1"/>
    <xf numFmtId="3" fontId="29" fillId="0" borderId="14" xfId="0" applyNumberFormat="1" applyFont="1" applyBorder="1"/>
    <xf numFmtId="3" fontId="11" fillId="0" borderId="16" xfId="0" applyNumberFormat="1" applyFont="1" applyFill="1" applyBorder="1"/>
    <xf numFmtId="3" fontId="29" fillId="12" borderId="0" xfId="0" applyNumberFormat="1" applyFont="1" applyFill="1" applyBorder="1"/>
    <xf numFmtId="3" fontId="28" fillId="0" borderId="14" xfId="0" applyNumberFormat="1" applyFont="1" applyFill="1" applyBorder="1"/>
    <xf numFmtId="3" fontId="28" fillId="0" borderId="2" xfId="0" applyNumberFormat="1" applyFont="1" applyFill="1" applyBorder="1"/>
    <xf numFmtId="164" fontId="1" fillId="12" borderId="15" xfId="0" applyNumberFormat="1" applyFont="1" applyFill="1" applyBorder="1" applyAlignment="1">
      <alignment vertical="center"/>
    </xf>
    <xf numFmtId="3" fontId="7" fillId="12" borderId="62" xfId="0" applyNumberFormat="1" applyFont="1" applyFill="1" applyBorder="1" applyAlignment="1">
      <alignment horizontal="right" vertical="center"/>
    </xf>
    <xf numFmtId="3" fontId="7" fillId="12" borderId="6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71" xfId="0" applyNumberFormat="1" applyFont="1" applyBorder="1" applyAlignment="1">
      <alignment vertical="center"/>
    </xf>
    <xf numFmtId="3" fontId="7" fillId="0" borderId="72" xfId="0" applyNumberFormat="1" applyFont="1" applyBorder="1"/>
    <xf numFmtId="3" fontId="10" fillId="0" borderId="24" xfId="0" applyNumberFormat="1" applyFont="1" applyBorder="1"/>
    <xf numFmtId="3" fontId="7" fillId="0" borderId="24" xfId="0" applyNumberFormat="1" applyFont="1" applyBorder="1"/>
    <xf numFmtId="0" fontId="24" fillId="8" borderId="62" xfId="0" applyFont="1" applyFill="1" applyBorder="1" applyAlignment="1"/>
    <xf numFmtId="0" fontId="0" fillId="0" borderId="0" xfId="0" applyBorder="1" applyAlignment="1"/>
    <xf numFmtId="0" fontId="1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6" fillId="14" borderId="76" xfId="0" applyNumberFormat="1" applyFont="1" applyFill="1" applyBorder="1"/>
    <xf numFmtId="3" fontId="16" fillId="14" borderId="3" xfId="0" applyNumberFormat="1" applyFont="1" applyFill="1" applyBorder="1"/>
    <xf numFmtId="3" fontId="20" fillId="0" borderId="3" xfId="0" applyNumberFormat="1" applyFont="1" applyBorder="1" applyAlignment="1"/>
    <xf numFmtId="3" fontId="16" fillId="5" borderId="3" xfId="0" applyNumberFormat="1" applyFont="1" applyFill="1" applyBorder="1" applyAlignment="1">
      <alignment vertical="center"/>
    </xf>
    <xf numFmtId="3" fontId="16" fillId="14" borderId="3" xfId="0" applyNumberFormat="1" applyFont="1" applyFill="1" applyBorder="1" applyAlignment="1">
      <alignment vertical="center"/>
    </xf>
    <xf numFmtId="3" fontId="16" fillId="5" borderId="18" xfId="0" applyNumberFormat="1" applyFont="1" applyFill="1" applyBorder="1" applyAlignment="1">
      <alignment vertical="center"/>
    </xf>
    <xf numFmtId="3" fontId="16" fillId="14" borderId="19" xfId="0" applyNumberFormat="1" applyFont="1" applyFill="1" applyBorder="1"/>
    <xf numFmtId="3" fontId="16" fillId="14" borderId="14" xfId="0" applyNumberFormat="1" applyFont="1" applyFill="1" applyBorder="1"/>
    <xf numFmtId="3" fontId="20" fillId="0" borderId="14" xfId="0" applyNumberFormat="1" applyFont="1" applyBorder="1" applyAlignment="1"/>
    <xf numFmtId="3" fontId="16" fillId="14" borderId="14" xfId="0" applyNumberFormat="1" applyFont="1" applyFill="1" applyBorder="1" applyAlignment="1">
      <alignment vertical="center"/>
    </xf>
    <xf numFmtId="3" fontId="16" fillId="5" borderId="14" xfId="0" applyNumberFormat="1" applyFont="1" applyFill="1" applyBorder="1" applyAlignment="1">
      <alignment vertical="center"/>
    </xf>
    <xf numFmtId="3" fontId="16" fillId="5" borderId="16" xfId="0" applyNumberFormat="1" applyFont="1" applyFill="1" applyBorder="1" applyAlignment="1">
      <alignment vertical="center"/>
    </xf>
    <xf numFmtId="3" fontId="10" fillId="12" borderId="60" xfId="0" applyNumberFormat="1" applyFont="1" applyFill="1" applyBorder="1" applyAlignment="1">
      <alignment horizontal="center" vertical="center" wrapText="1"/>
    </xf>
    <xf numFmtId="164" fontId="48" fillId="12" borderId="66" xfId="0" applyNumberFormat="1" applyFont="1" applyFill="1" applyBorder="1" applyAlignment="1">
      <alignment wrapText="1"/>
    </xf>
    <xf numFmtId="3" fontId="16" fillId="14" borderId="6" xfId="0" applyNumberFormat="1" applyFont="1" applyFill="1" applyBorder="1" applyAlignment="1">
      <alignment vertical="center"/>
    </xf>
    <xf numFmtId="3" fontId="39" fillId="16" borderId="8" xfId="0" applyNumberFormat="1" applyFont="1" applyFill="1" applyBorder="1" applyAlignment="1"/>
    <xf numFmtId="3" fontId="24" fillId="8" borderId="5" xfId="0" applyNumberFormat="1" applyFont="1" applyFill="1" applyBorder="1" applyAlignment="1"/>
    <xf numFmtId="3" fontId="39" fillId="16" borderId="5" xfId="0" applyNumberFormat="1" applyFont="1" applyFill="1" applyBorder="1" applyAlignment="1"/>
    <xf numFmtId="3" fontId="24" fillId="8" borderId="8" xfId="0" applyNumberFormat="1" applyFont="1" applyFill="1" applyBorder="1" applyAlignment="1"/>
    <xf numFmtId="3" fontId="24" fillId="12" borderId="8" xfId="0" applyNumberFormat="1" applyFont="1" applyFill="1" applyBorder="1" applyAlignment="1"/>
    <xf numFmtId="3" fontId="24" fillId="12" borderId="62" xfId="0" applyNumberFormat="1" applyFont="1" applyFill="1" applyBorder="1" applyAlignment="1"/>
    <xf numFmtId="3" fontId="39" fillId="16" borderId="21" xfId="0" applyNumberFormat="1" applyFont="1" applyFill="1" applyBorder="1" applyAlignment="1"/>
    <xf numFmtId="164" fontId="48" fillId="12" borderId="33" xfId="0" applyNumberFormat="1" applyFont="1" applyFill="1" applyBorder="1" applyAlignment="1">
      <alignment wrapText="1"/>
    </xf>
    <xf numFmtId="3" fontId="24" fillId="8" borderId="2" xfId="0" applyNumberFormat="1" applyFont="1" applyFill="1" applyBorder="1" applyAlignment="1"/>
    <xf numFmtId="3" fontId="39" fillId="16" borderId="2" xfId="0" applyNumberFormat="1" applyFont="1" applyFill="1" applyBorder="1" applyAlignment="1"/>
    <xf numFmtId="3" fontId="24" fillId="8" borderId="30" xfId="0" applyNumberFormat="1" applyFont="1" applyFill="1" applyBorder="1" applyAlignment="1"/>
    <xf numFmtId="3" fontId="25" fillId="2" borderId="27" xfId="0" applyNumberFormat="1" applyFont="1" applyFill="1" applyBorder="1" applyAlignment="1"/>
    <xf numFmtId="164" fontId="48" fillId="12" borderId="17" xfId="0" applyNumberFormat="1" applyFont="1" applyFill="1" applyBorder="1" applyAlignment="1">
      <alignment wrapText="1"/>
    </xf>
    <xf numFmtId="0" fontId="32" fillId="19" borderId="2" xfId="0" applyFont="1" applyFill="1" applyBorder="1"/>
    <xf numFmtId="0" fontId="11" fillId="19" borderId="2" xfId="0" applyFont="1" applyFill="1" applyBorder="1"/>
    <xf numFmtId="3" fontId="11" fillId="19" borderId="5" xfId="0" applyNumberFormat="1" applyFont="1" applyFill="1" applyBorder="1"/>
    <xf numFmtId="3" fontId="11" fillId="19" borderId="2" xfId="0" applyNumberFormat="1" applyFont="1" applyFill="1" applyBorder="1"/>
    <xf numFmtId="164" fontId="1" fillId="19" borderId="15" xfId="0" applyNumberFormat="1" applyFont="1" applyFill="1" applyBorder="1"/>
    <xf numFmtId="0" fontId="32" fillId="0" borderId="1" xfId="0" applyFont="1" applyFill="1" applyBorder="1" applyAlignment="1"/>
    <xf numFmtId="3" fontId="29" fillId="0" borderId="64" xfId="0" applyNumberFormat="1" applyFont="1" applyBorder="1"/>
    <xf numFmtId="3" fontId="29" fillId="0" borderId="50" xfId="0" applyNumberFormat="1" applyFont="1" applyBorder="1"/>
    <xf numFmtId="164" fontId="48" fillId="12" borderId="25" xfId="0" applyNumberFormat="1" applyFont="1" applyFill="1" applyBorder="1" applyAlignment="1">
      <alignment wrapText="1"/>
    </xf>
    <xf numFmtId="0" fontId="24" fillId="8" borderId="28" xfId="0" applyFont="1" applyFill="1" applyBorder="1" applyAlignment="1"/>
    <xf numFmtId="0" fontId="0" fillId="0" borderId="77" xfId="0" applyBorder="1" applyAlignment="1"/>
    <xf numFmtId="3" fontId="24" fillId="12" borderId="28" xfId="0" applyNumberFormat="1" applyFont="1" applyFill="1" applyBorder="1" applyAlignment="1"/>
    <xf numFmtId="3" fontId="20" fillId="0" borderId="2" xfId="0" applyNumberFormat="1" applyFont="1" applyFill="1" applyBorder="1" applyAlignment="1"/>
    <xf numFmtId="3" fontId="24" fillId="0" borderId="2" xfId="0" applyNumberFormat="1" applyFont="1" applyFill="1" applyBorder="1" applyAlignment="1"/>
    <xf numFmtId="0" fontId="1" fillId="0" borderId="28" xfId="0" applyFont="1" applyBorder="1"/>
    <xf numFmtId="0" fontId="1" fillId="0" borderId="59" xfId="0" applyFont="1" applyBorder="1"/>
    <xf numFmtId="164" fontId="1" fillId="12" borderId="25" xfId="0" applyNumberFormat="1" applyFont="1" applyFill="1" applyBorder="1"/>
    <xf numFmtId="0" fontId="32" fillId="6" borderId="79" xfId="0" applyFont="1" applyFill="1" applyBorder="1" applyAlignment="1"/>
    <xf numFmtId="0" fontId="32" fillId="6" borderId="50" xfId="0" applyFont="1" applyFill="1" applyBorder="1" applyAlignment="1"/>
    <xf numFmtId="0" fontId="32" fillId="6" borderId="80" xfId="0" applyFont="1" applyFill="1" applyBorder="1" applyAlignment="1"/>
    <xf numFmtId="0" fontId="26" fillId="6" borderId="81" xfId="0" applyFont="1" applyFill="1" applyBorder="1" applyAlignment="1"/>
    <xf numFmtId="3" fontId="26" fillId="6" borderId="79" xfId="0" applyNumberFormat="1" applyFont="1" applyFill="1" applyBorder="1" applyAlignment="1"/>
    <xf numFmtId="3" fontId="26" fillId="6" borderId="50" xfId="0" applyNumberFormat="1" applyFont="1" applyFill="1" applyBorder="1" applyAlignment="1"/>
    <xf numFmtId="0" fontId="32" fillId="5" borderId="65" xfId="0" applyFont="1" applyFill="1" applyBorder="1"/>
    <xf numFmtId="0" fontId="32" fillId="5" borderId="31" xfId="0" applyFont="1" applyFill="1" applyBorder="1"/>
    <xf numFmtId="0" fontId="32" fillId="5" borderId="82" xfId="0" applyFont="1" applyFill="1" applyBorder="1"/>
    <xf numFmtId="0" fontId="2" fillId="5" borderId="82" xfId="0" applyFont="1" applyFill="1" applyBorder="1"/>
    <xf numFmtId="3" fontId="2" fillId="5" borderId="46" xfId="0" applyNumberFormat="1" applyFont="1" applyFill="1" applyBorder="1"/>
    <xf numFmtId="3" fontId="2" fillId="5" borderId="31" xfId="0" applyNumberFormat="1" applyFont="1" applyFill="1" applyBorder="1"/>
    <xf numFmtId="164" fontId="1" fillId="12" borderId="78" xfId="0" applyNumberFormat="1" applyFont="1" applyFill="1" applyBorder="1"/>
    <xf numFmtId="3" fontId="45" fillId="12" borderId="62" xfId="0" applyNumberFormat="1" applyFont="1" applyFill="1" applyBorder="1"/>
    <xf numFmtId="49" fontId="53" fillId="12" borderId="0" xfId="0" applyNumberFormat="1" applyFont="1" applyFill="1" applyBorder="1" applyAlignment="1">
      <alignment horizontal="center" vertical="center"/>
    </xf>
    <xf numFmtId="3" fontId="35" fillId="12" borderId="0" xfId="0" applyNumberFormat="1" applyFont="1" applyFill="1" applyBorder="1" applyAlignment="1">
      <alignment horizontal="center" vertical="center" wrapText="1"/>
    </xf>
    <xf numFmtId="3" fontId="35" fillId="12" borderId="40" xfId="0" applyNumberFormat="1" applyFont="1" applyFill="1" applyBorder="1" applyAlignment="1">
      <alignment horizontal="center" vertical="center" wrapText="1"/>
    </xf>
    <xf numFmtId="3" fontId="35" fillId="12" borderId="34" xfId="0" applyNumberFormat="1" applyFont="1" applyFill="1" applyBorder="1" applyAlignment="1">
      <alignment horizontal="center" vertical="center" wrapText="1"/>
    </xf>
    <xf numFmtId="164" fontId="31" fillId="12" borderId="15" xfId="0" applyNumberFormat="1" applyFont="1" applyFill="1" applyBorder="1" applyAlignment="1">
      <alignment vertical="center"/>
    </xf>
    <xf numFmtId="164" fontId="10" fillId="12" borderId="66" xfId="0" applyNumberFormat="1" applyFont="1" applyFill="1" applyBorder="1"/>
    <xf numFmtId="3" fontId="10" fillId="0" borderId="71" xfId="0" applyNumberFormat="1" applyFont="1" applyFill="1" applyBorder="1"/>
    <xf numFmtId="0" fontId="16" fillId="3" borderId="2" xfId="0" applyFont="1" applyFill="1" applyBorder="1" applyAlignment="1"/>
    <xf numFmtId="0" fontId="17" fillId="5" borderId="2" xfId="0" applyFont="1" applyFill="1" applyBorder="1" applyAlignment="1"/>
    <xf numFmtId="49" fontId="53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4" fontId="48" fillId="0" borderId="62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0" fontId="0" fillId="0" borderId="7" xfId="0" applyBorder="1" applyAlignment="1"/>
    <xf numFmtId="0" fontId="24" fillId="8" borderId="5" xfId="0" applyFont="1" applyFill="1" applyBorder="1" applyAlignment="1"/>
    <xf numFmtId="3" fontId="25" fillId="2" borderId="57" xfId="0" applyNumberFormat="1" applyFont="1" applyFill="1" applyBorder="1" applyAlignment="1"/>
    <xf numFmtId="0" fontId="24" fillId="8" borderId="7" xfId="0" applyFont="1" applyFill="1" applyBorder="1" applyAlignment="1"/>
    <xf numFmtId="0" fontId="24" fillId="8" borderId="9" xfId="0" applyFont="1" applyFill="1" applyBorder="1" applyAlignment="1"/>
    <xf numFmtId="0" fontId="24" fillId="8" borderId="0" xfId="0" applyFont="1" applyFill="1" applyBorder="1" applyAlignment="1"/>
    <xf numFmtId="0" fontId="24" fillId="8" borderId="77" xfId="0" applyFont="1" applyFill="1" applyBorder="1" applyAlignment="1"/>
    <xf numFmtId="0" fontId="21" fillId="0" borderId="7" xfId="0" applyFont="1" applyBorder="1" applyAlignment="1"/>
    <xf numFmtId="3" fontId="24" fillId="12" borderId="30" xfId="0" applyNumberFormat="1" applyFont="1" applyFill="1" applyBorder="1" applyAlignment="1"/>
    <xf numFmtId="3" fontId="24" fillId="12" borderId="49" xfId="0" applyNumberFormat="1" applyFont="1" applyFill="1" applyBorder="1" applyAlignment="1"/>
    <xf numFmtId="3" fontId="24" fillId="12" borderId="1" xfId="0" applyNumberFormat="1" applyFont="1" applyFill="1" applyBorder="1" applyAlignment="1"/>
    <xf numFmtId="3" fontId="16" fillId="5" borderId="7" xfId="0" applyNumberFormat="1" applyFont="1" applyFill="1" applyBorder="1" applyAlignment="1">
      <alignment vertical="center"/>
    </xf>
    <xf numFmtId="3" fontId="52" fillId="18" borderId="41" xfId="0" applyNumberFormat="1" applyFont="1" applyFill="1" applyBorder="1" applyAlignment="1">
      <alignment horizontal="center" vertical="center" wrapText="1"/>
    </xf>
    <xf numFmtId="3" fontId="16" fillId="14" borderId="83" xfId="0" applyNumberFormat="1" applyFont="1" applyFill="1" applyBorder="1"/>
    <xf numFmtId="3" fontId="16" fillId="14" borderId="7" xfId="0" applyNumberFormat="1" applyFont="1" applyFill="1" applyBorder="1"/>
    <xf numFmtId="3" fontId="20" fillId="0" borderId="7" xfId="0" applyNumberFormat="1" applyFont="1" applyBorder="1" applyAlignment="1"/>
    <xf numFmtId="3" fontId="16" fillId="14" borderId="47" xfId="0" applyNumberFormat="1" applyFont="1" applyFill="1" applyBorder="1" applyAlignment="1">
      <alignment vertical="center"/>
    </xf>
    <xf numFmtId="3" fontId="16" fillId="14" borderId="16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vertical="center"/>
    </xf>
    <xf numFmtId="3" fontId="3" fillId="0" borderId="2" xfId="0" applyNumberFormat="1" applyFont="1" applyBorder="1" applyAlignment="1"/>
    <xf numFmtId="3" fontId="3" fillId="0" borderId="30" xfId="0" applyNumberFormat="1" applyFont="1" applyBorder="1" applyAlignment="1"/>
    <xf numFmtId="3" fontId="3" fillId="0" borderId="49" xfId="0" applyNumberFormat="1" applyFont="1" applyBorder="1" applyAlignment="1"/>
    <xf numFmtId="3" fontId="3" fillId="0" borderId="1" xfId="0" applyNumberFormat="1" applyFont="1" applyBorder="1" applyAlignment="1"/>
    <xf numFmtId="3" fontId="54" fillId="16" borderId="2" xfId="0" applyNumberFormat="1" applyFont="1" applyFill="1" applyBorder="1" applyAlignment="1"/>
    <xf numFmtId="3" fontId="54" fillId="16" borderId="21" xfId="0" applyNumberFormat="1" applyFont="1" applyFill="1" applyBorder="1" applyAlignment="1"/>
    <xf numFmtId="3" fontId="55" fillId="17" borderId="27" xfId="0" applyNumberFormat="1" applyFont="1" applyFill="1" applyBorder="1" applyAlignment="1"/>
    <xf numFmtId="164" fontId="48" fillId="0" borderId="15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/>
    <xf numFmtId="3" fontId="10" fillId="0" borderId="0" xfId="0" applyNumberFormat="1" applyFont="1" applyFill="1" applyBorder="1"/>
    <xf numFmtId="3" fontId="1" fillId="0" borderId="0" xfId="0" applyNumberFormat="1" applyFont="1" applyFill="1" applyBorder="1"/>
    <xf numFmtId="49" fontId="47" fillId="12" borderId="44" xfId="0" applyNumberFormat="1" applyFont="1" applyFill="1" applyBorder="1" applyAlignment="1">
      <alignment horizontal="center" vertical="center" wrapText="1"/>
    </xf>
    <xf numFmtId="3" fontId="35" fillId="14" borderId="61" xfId="0" applyNumberFormat="1" applyFont="1" applyFill="1" applyBorder="1" applyAlignment="1">
      <alignment horizontal="center" vertical="center" wrapText="1"/>
    </xf>
    <xf numFmtId="3" fontId="35" fillId="14" borderId="62" xfId="0" applyNumberFormat="1" applyFont="1" applyFill="1" applyBorder="1" applyAlignment="1">
      <alignment horizontal="center" vertical="center" wrapText="1"/>
    </xf>
    <xf numFmtId="3" fontId="35" fillId="14" borderId="63" xfId="0" applyNumberFormat="1" applyFont="1" applyFill="1" applyBorder="1" applyAlignment="1">
      <alignment horizontal="center" vertical="center" wrapText="1"/>
    </xf>
    <xf numFmtId="49" fontId="4" fillId="9" borderId="40" xfId="0" applyNumberFormat="1" applyFont="1" applyFill="1" applyBorder="1" applyAlignment="1">
      <alignment horizontal="center" vertical="center"/>
    </xf>
    <xf numFmtId="49" fontId="4" fillId="9" borderId="41" xfId="0" applyNumberFormat="1" applyFont="1" applyFill="1" applyBorder="1" applyAlignment="1">
      <alignment horizontal="center" vertical="center"/>
    </xf>
    <xf numFmtId="49" fontId="4" fillId="9" borderId="42" xfId="0" applyNumberFormat="1" applyFont="1" applyFill="1" applyBorder="1" applyAlignment="1">
      <alignment horizontal="center" vertical="center"/>
    </xf>
    <xf numFmtId="49" fontId="4" fillId="9" borderId="43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29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9" fontId="6" fillId="9" borderId="35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 vertical="center" wrapText="1"/>
    </xf>
    <xf numFmtId="49" fontId="6" fillId="9" borderId="35" xfId="0" applyNumberFormat="1" applyFont="1" applyFill="1" applyBorder="1" applyAlignment="1">
      <alignment horizontal="center" vertical="center" wrapText="1"/>
    </xf>
    <xf numFmtId="3" fontId="35" fillId="14" borderId="48" xfId="0" applyNumberFormat="1" applyFont="1" applyFill="1" applyBorder="1" applyAlignment="1">
      <alignment horizontal="center" vertical="center" wrapText="1"/>
    </xf>
    <xf numFmtId="3" fontId="35" fillId="14" borderId="49" xfId="0" applyNumberFormat="1" applyFont="1" applyFill="1" applyBorder="1" applyAlignment="1">
      <alignment horizontal="center" vertical="center" wrapText="1"/>
    </xf>
    <xf numFmtId="3" fontId="35" fillId="14" borderId="35" xfId="0" applyNumberFormat="1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3" fontId="49" fillId="18" borderId="48" xfId="0" applyNumberFormat="1" applyFont="1" applyFill="1" applyBorder="1" applyAlignment="1">
      <alignment horizontal="center" vertical="center" wrapText="1"/>
    </xf>
    <xf numFmtId="3" fontId="49" fillId="18" borderId="49" xfId="0" applyNumberFormat="1" applyFont="1" applyFill="1" applyBorder="1" applyAlignment="1">
      <alignment horizontal="center" vertical="center" wrapText="1"/>
    </xf>
    <xf numFmtId="3" fontId="49" fillId="18" borderId="35" xfId="0" applyNumberFormat="1" applyFont="1" applyFill="1" applyBorder="1" applyAlignment="1">
      <alignment horizontal="center" vertical="center" wrapText="1"/>
    </xf>
    <xf numFmtId="3" fontId="48" fillId="12" borderId="37" xfId="0" applyNumberFormat="1" applyFont="1" applyFill="1" applyBorder="1" applyAlignment="1">
      <alignment horizontal="center" vertical="center" wrapText="1"/>
    </xf>
    <xf numFmtId="3" fontId="48" fillId="12" borderId="38" xfId="0" applyNumberFormat="1" applyFont="1" applyFill="1" applyBorder="1" applyAlignment="1">
      <alignment horizontal="center" vertical="center" wrapText="1"/>
    </xf>
    <xf numFmtId="3" fontId="48" fillId="12" borderId="39" xfId="0" applyNumberFormat="1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7" fillId="5" borderId="5" xfId="0" applyFont="1" applyFill="1" applyBorder="1" applyAlignment="1"/>
    <xf numFmtId="0" fontId="13" fillId="10" borderId="48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/>
    </xf>
    <xf numFmtId="0" fontId="13" fillId="10" borderId="50" xfId="0" applyFont="1" applyFill="1" applyBorder="1" applyAlignment="1">
      <alignment horizontal="center" vertical="center"/>
    </xf>
    <xf numFmtId="3" fontId="49" fillId="18" borderId="51" xfId="0" applyNumberFormat="1" applyFont="1" applyFill="1" applyBorder="1" applyAlignment="1">
      <alignment horizontal="center" vertical="center" wrapText="1"/>
    </xf>
    <xf numFmtId="3" fontId="49" fillId="18" borderId="52" xfId="0" applyNumberFormat="1" applyFont="1" applyFill="1" applyBorder="1" applyAlignment="1">
      <alignment horizontal="center" vertical="center" wrapText="1"/>
    </xf>
    <xf numFmtId="3" fontId="49" fillId="18" borderId="3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0" fillId="0" borderId="0" xfId="0" applyAlignment="1"/>
    <xf numFmtId="49" fontId="12" fillId="11" borderId="40" xfId="0" applyNumberFormat="1" applyFont="1" applyFill="1" applyBorder="1" applyAlignment="1">
      <alignment horizontal="center" vertical="center"/>
    </xf>
    <xf numFmtId="49" fontId="12" fillId="11" borderId="41" xfId="0" applyNumberFormat="1" applyFont="1" applyFill="1" applyBorder="1" applyAlignment="1">
      <alignment horizontal="center" vertical="center"/>
    </xf>
    <xf numFmtId="49" fontId="12" fillId="11" borderId="60" xfId="0" applyNumberFormat="1" applyFont="1" applyFill="1" applyBorder="1" applyAlignment="1">
      <alignment horizontal="center" vertical="center"/>
    </xf>
    <xf numFmtId="3" fontId="18" fillId="18" borderId="19" xfId="0" applyNumberFormat="1" applyFont="1" applyFill="1" applyBorder="1" applyAlignment="1">
      <alignment horizontal="center" vertical="center" wrapText="1"/>
    </xf>
    <xf numFmtId="3" fontId="18" fillId="18" borderId="14" xfId="0" applyNumberFormat="1" applyFont="1" applyFill="1" applyBorder="1" applyAlignment="1">
      <alignment horizontal="center" vertical="center" wrapText="1"/>
    </xf>
    <xf numFmtId="0" fontId="27" fillId="10" borderId="51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/>
    </xf>
    <xf numFmtId="0" fontId="27" fillId="10" borderId="53" xfId="0" applyFont="1" applyFill="1" applyBorder="1" applyAlignment="1">
      <alignment horizontal="center" vertical="center"/>
    </xf>
    <xf numFmtId="0" fontId="13" fillId="10" borderId="48" xfId="0" applyFont="1" applyFill="1" applyBorder="1" applyAlignment="1">
      <alignment horizontal="center" vertical="center" textRotation="180" wrapText="1"/>
    </xf>
    <xf numFmtId="0" fontId="13" fillId="10" borderId="49" xfId="0" applyFont="1" applyFill="1" applyBorder="1" applyAlignment="1">
      <alignment horizontal="center" vertical="center" textRotation="180" wrapText="1"/>
    </xf>
    <xf numFmtId="0" fontId="13" fillId="10" borderId="50" xfId="0" applyFont="1" applyFill="1" applyBorder="1" applyAlignment="1">
      <alignment horizontal="center" vertical="center" textRotation="180" wrapText="1"/>
    </xf>
    <xf numFmtId="49" fontId="12" fillId="11" borderId="10" xfId="0" applyNumberFormat="1" applyFont="1" applyFill="1" applyBorder="1" applyAlignment="1">
      <alignment horizontal="center" vertical="center"/>
    </xf>
    <xf numFmtId="49" fontId="12" fillId="11" borderId="46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53" fillId="11" borderId="10" xfId="0" applyNumberFormat="1" applyFont="1" applyFill="1" applyBorder="1" applyAlignment="1">
      <alignment horizontal="center" vertical="center"/>
    </xf>
    <xf numFmtId="49" fontId="53" fillId="11" borderId="46" xfId="0" applyNumberFormat="1" applyFont="1" applyFill="1" applyBorder="1" applyAlignment="1">
      <alignment horizontal="center" vertical="center"/>
    </xf>
    <xf numFmtId="49" fontId="53" fillId="11" borderId="11" xfId="0" applyNumberFormat="1" applyFont="1" applyFill="1" applyBorder="1" applyAlignment="1">
      <alignment horizontal="center" vertical="center"/>
    </xf>
    <xf numFmtId="3" fontId="18" fillId="18" borderId="12" xfId="0" applyNumberFormat="1" applyFont="1" applyFill="1" applyBorder="1" applyAlignment="1">
      <alignment horizontal="center" vertical="center" wrapText="1"/>
    </xf>
    <xf numFmtId="3" fontId="18" fillId="18" borderId="71" xfId="0" applyNumberFormat="1" applyFont="1" applyFill="1" applyBorder="1" applyAlignment="1">
      <alignment horizontal="center" vertical="center" wrapText="1"/>
    </xf>
    <xf numFmtId="3" fontId="48" fillId="12" borderId="60" xfId="0" applyNumberFormat="1" applyFont="1" applyFill="1" applyBorder="1" applyAlignment="1">
      <alignment horizontal="center" vertical="center" wrapText="1"/>
    </xf>
    <xf numFmtId="3" fontId="48" fillId="12" borderId="32" xfId="0" applyNumberFormat="1" applyFont="1" applyFill="1" applyBorder="1" applyAlignment="1">
      <alignment horizontal="center" vertical="center" wrapText="1"/>
    </xf>
    <xf numFmtId="3" fontId="48" fillId="12" borderId="73" xfId="0" applyNumberFormat="1" applyFont="1" applyFill="1" applyBorder="1" applyAlignment="1">
      <alignment horizontal="center" vertical="center" wrapText="1"/>
    </xf>
    <xf numFmtId="49" fontId="53" fillId="11" borderId="40" xfId="0" applyNumberFormat="1" applyFont="1" applyFill="1" applyBorder="1" applyAlignment="1">
      <alignment horizontal="center" vertical="center"/>
    </xf>
    <xf numFmtId="49" fontId="53" fillId="11" borderId="41" xfId="0" applyNumberFormat="1" applyFont="1" applyFill="1" applyBorder="1" applyAlignment="1">
      <alignment horizontal="center" vertical="center"/>
    </xf>
    <xf numFmtId="49" fontId="53" fillId="11" borderId="60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/>
    <xf numFmtId="0" fontId="0" fillId="0" borderId="2" xfId="0" applyBorder="1" applyAlignment="1"/>
    <xf numFmtId="0" fontId="15" fillId="2" borderId="55" xfId="0" applyFont="1" applyFill="1" applyBorder="1" applyAlignment="1">
      <alignment vertical="center"/>
    </xf>
    <xf numFmtId="0" fontId="15" fillId="2" borderId="56" xfId="0" applyFont="1" applyFill="1" applyBorder="1" applyAlignment="1">
      <alignment vertical="center"/>
    </xf>
    <xf numFmtId="0" fontId="17" fillId="5" borderId="7" xfId="0" applyFont="1" applyFill="1" applyBorder="1" applyAlignment="1"/>
    <xf numFmtId="0" fontId="17" fillId="5" borderId="3" xfId="0" applyFont="1" applyFill="1" applyBorder="1" applyAlignment="1"/>
    <xf numFmtId="3" fontId="49" fillId="18" borderId="21" xfId="0" applyNumberFormat="1" applyFont="1" applyFill="1" applyBorder="1" applyAlignment="1">
      <alignment horizontal="center" vertical="center" wrapText="1"/>
    </xf>
    <xf numFmtId="3" fontId="49" fillId="18" borderId="2" xfId="0" applyNumberFormat="1" applyFont="1" applyFill="1" applyBorder="1" applyAlignment="1">
      <alignment horizontal="center" vertical="center" wrapText="1"/>
    </xf>
    <xf numFmtId="3" fontId="49" fillId="18" borderId="1" xfId="0" applyNumberFormat="1" applyFont="1" applyFill="1" applyBorder="1" applyAlignment="1">
      <alignment horizontal="center" vertical="center" wrapText="1"/>
    </xf>
    <xf numFmtId="3" fontId="48" fillId="12" borderId="33" xfId="0" applyNumberFormat="1" applyFont="1" applyFill="1" applyBorder="1" applyAlignment="1">
      <alignment horizontal="center" vertical="center" wrapText="1"/>
    </xf>
    <xf numFmtId="3" fontId="48" fillId="12" borderId="15" xfId="0" applyNumberFormat="1" applyFont="1" applyFill="1" applyBorder="1" applyAlignment="1">
      <alignment horizontal="center" vertical="center" wrapText="1"/>
    </xf>
    <xf numFmtId="3" fontId="48" fillId="12" borderId="25" xfId="0" applyNumberFormat="1" applyFont="1" applyFill="1" applyBorder="1" applyAlignment="1">
      <alignment horizontal="center" vertical="center" wrapText="1"/>
    </xf>
    <xf numFmtId="0" fontId="17" fillId="5" borderId="23" xfId="0" applyFont="1" applyFill="1" applyBorder="1" applyAlignment="1"/>
    <xf numFmtId="0" fontId="0" fillId="0" borderId="47" xfId="0" applyBorder="1" applyAlignment="1"/>
    <xf numFmtId="0" fontId="0" fillId="0" borderId="18" xfId="0" applyBorder="1" applyAlignment="1"/>
    <xf numFmtId="3" fontId="18" fillId="18" borderId="24" xfId="0" applyNumberFormat="1" applyFont="1" applyFill="1" applyBorder="1" applyAlignment="1">
      <alignment horizontal="center" vertical="center" wrapText="1"/>
    </xf>
    <xf numFmtId="3" fontId="49" fillId="18" borderId="30" xfId="0" applyNumberFormat="1" applyFont="1" applyFill="1" applyBorder="1" applyAlignment="1">
      <alignment horizontal="center" vertical="center" wrapText="1"/>
    </xf>
    <xf numFmtId="3" fontId="48" fillId="12" borderId="13" xfId="0" applyNumberFormat="1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6" fillId="3" borderId="2" xfId="0" applyFont="1" applyFill="1" applyBorder="1" applyAlignment="1"/>
    <xf numFmtId="3" fontId="49" fillId="18" borderId="22" xfId="0" applyNumberFormat="1" applyFont="1" applyFill="1" applyBorder="1" applyAlignment="1">
      <alignment horizontal="center" vertical="center" wrapText="1"/>
    </xf>
    <xf numFmtId="3" fontId="49" fillId="18" borderId="14" xfId="0" applyNumberFormat="1" applyFont="1" applyFill="1" applyBorder="1" applyAlignment="1">
      <alignment horizontal="center" vertical="center" wrapText="1"/>
    </xf>
    <xf numFmtId="3" fontId="49" fillId="18" borderId="24" xfId="0" applyNumberFormat="1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horizontal="center" vertical="center" wrapText="1"/>
    </xf>
    <xf numFmtId="0" fontId="46" fillId="12" borderId="0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/>
    <xf numFmtId="0" fontId="24" fillId="8" borderId="7" xfId="0" applyFont="1" applyFill="1" applyBorder="1" applyAlignment="1"/>
    <xf numFmtId="3" fontId="25" fillId="2" borderId="57" xfId="0" applyNumberFormat="1" applyFont="1" applyFill="1" applyBorder="1" applyAlignment="1"/>
    <xf numFmtId="3" fontId="25" fillId="2" borderId="58" xfId="0" applyNumberFormat="1" applyFont="1" applyFill="1" applyBorder="1" applyAlignment="1"/>
    <xf numFmtId="0" fontId="0" fillId="0" borderId="58" xfId="0" applyBorder="1" applyAlignment="1"/>
    <xf numFmtId="0" fontId="21" fillId="0" borderId="7" xfId="0" applyFont="1" applyBorder="1" applyAlignment="1"/>
    <xf numFmtId="49" fontId="51" fillId="15" borderId="45" xfId="0" applyNumberFormat="1" applyFont="1" applyFill="1" applyBorder="1" applyAlignment="1">
      <alignment horizontal="center" vertical="center"/>
    </xf>
    <xf numFmtId="49" fontId="51" fillId="15" borderId="61" xfId="0" applyNumberFormat="1" applyFont="1" applyFill="1" applyBorder="1" applyAlignment="1">
      <alignment horizontal="center" vertical="center"/>
    </xf>
    <xf numFmtId="0" fontId="15" fillId="16" borderId="5" xfId="0" applyFont="1" applyFill="1" applyBorder="1" applyAlignment="1"/>
    <xf numFmtId="0" fontId="15" fillId="16" borderId="7" xfId="0" applyFont="1" applyFill="1" applyBorder="1" applyAlignment="1"/>
    <xf numFmtId="0" fontId="0" fillId="16" borderId="7" xfId="0" applyFill="1" applyBorder="1" applyAlignment="1"/>
    <xf numFmtId="0" fontId="15" fillId="16" borderId="8" xfId="0" applyFont="1" applyFill="1" applyBorder="1" applyAlignment="1"/>
    <xf numFmtId="0" fontId="15" fillId="16" borderId="9" xfId="0" applyFont="1" applyFill="1" applyBorder="1" applyAlignment="1"/>
    <xf numFmtId="0" fontId="0" fillId="16" borderId="9" xfId="0" applyFill="1" applyBorder="1" applyAlignment="1"/>
    <xf numFmtId="0" fontId="23" fillId="6" borderId="10" xfId="0" applyFont="1" applyFill="1" applyBorder="1" applyAlignment="1">
      <alignment horizontal="center"/>
    </xf>
    <xf numFmtId="0" fontId="23" fillId="6" borderId="46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545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5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6" customWidth="1"/>
    <col min="8" max="8" width="13.85546875" customWidth="1"/>
    <col min="9" max="9" width="8.7109375" customWidth="1"/>
  </cols>
  <sheetData>
    <row r="1" spans="2:9" ht="61.5" customHeight="1" thickBot="1" x14ac:dyDescent="0.25">
      <c r="B1" s="469" t="s">
        <v>658</v>
      </c>
      <c r="C1" s="469"/>
      <c r="D1" s="469"/>
      <c r="E1" s="469"/>
      <c r="F1" s="469"/>
      <c r="G1" s="469"/>
      <c r="H1" s="469"/>
      <c r="I1" s="469"/>
    </row>
    <row r="2" spans="2:9" ht="12.75" customHeight="1" x14ac:dyDescent="0.2">
      <c r="B2" s="473"/>
      <c r="C2" s="474"/>
      <c r="D2" s="474"/>
      <c r="E2" s="474"/>
      <c r="F2" s="475"/>
      <c r="G2" s="470" t="s">
        <v>659</v>
      </c>
      <c r="H2" s="487" t="s">
        <v>661</v>
      </c>
      <c r="I2" s="490" t="s">
        <v>660</v>
      </c>
    </row>
    <row r="3" spans="2:9" x14ac:dyDescent="0.2">
      <c r="B3" s="476"/>
      <c r="C3" s="477"/>
      <c r="D3" s="477"/>
      <c r="E3" s="477"/>
      <c r="F3" s="478"/>
      <c r="G3" s="471"/>
      <c r="H3" s="488"/>
      <c r="I3" s="491"/>
    </row>
    <row r="4" spans="2:9" x14ac:dyDescent="0.2">
      <c r="B4" s="483" t="s">
        <v>120</v>
      </c>
      <c r="C4" s="485" t="s">
        <v>121</v>
      </c>
      <c r="D4" s="479" t="s">
        <v>122</v>
      </c>
      <c r="E4" s="479" t="s">
        <v>124</v>
      </c>
      <c r="F4" s="481" t="s">
        <v>123</v>
      </c>
      <c r="G4" s="471"/>
      <c r="H4" s="488"/>
      <c r="I4" s="491"/>
    </row>
    <row r="5" spans="2:9" ht="7.5" customHeight="1" thickBot="1" x14ac:dyDescent="0.25">
      <c r="B5" s="484"/>
      <c r="C5" s="486"/>
      <c r="D5" s="480"/>
      <c r="E5" s="480"/>
      <c r="F5" s="482"/>
      <c r="G5" s="472"/>
      <c r="H5" s="489"/>
      <c r="I5" s="492"/>
    </row>
    <row r="6" spans="2:9" ht="17.25" thickTop="1" thickBot="1" x14ac:dyDescent="0.3">
      <c r="B6" s="108">
        <v>1</v>
      </c>
      <c r="C6" s="61">
        <v>100</v>
      </c>
      <c r="D6" s="61"/>
      <c r="E6" s="61"/>
      <c r="F6" s="8" t="s">
        <v>270</v>
      </c>
      <c r="G6" s="235">
        <f>G7</f>
        <v>28576671</v>
      </c>
      <c r="H6" s="249">
        <f>H7</f>
        <v>29455319</v>
      </c>
      <c r="I6" s="219">
        <f t="shared" ref="I6:I76" si="0">H6/G6*100</f>
        <v>103.07470383796628</v>
      </c>
    </row>
    <row r="7" spans="2:9" ht="18" customHeight="1" thickBot="1" x14ac:dyDescent="0.3">
      <c r="B7" s="108">
        <f>B6+1</f>
        <v>2</v>
      </c>
      <c r="C7" s="62"/>
      <c r="D7" s="62"/>
      <c r="E7" s="62"/>
      <c r="F7" s="9" t="s">
        <v>43</v>
      </c>
      <c r="G7" s="236">
        <f>G16+G11+G8</f>
        <v>28576671</v>
      </c>
      <c r="H7" s="250">
        <f>H16+H11+H8</f>
        <v>29455319</v>
      </c>
      <c r="I7" s="219">
        <f t="shared" si="0"/>
        <v>103.07470383796628</v>
      </c>
    </row>
    <row r="8" spans="2:9" x14ac:dyDescent="0.2">
      <c r="B8" s="108">
        <f>B7+1</f>
        <v>3</v>
      </c>
      <c r="C8" s="63">
        <v>110</v>
      </c>
      <c r="D8" s="63"/>
      <c r="E8" s="63"/>
      <c r="F8" s="5" t="s">
        <v>271</v>
      </c>
      <c r="G8" s="237">
        <f>G9</f>
        <v>20437671</v>
      </c>
      <c r="H8" s="251">
        <f>H9</f>
        <v>21267840</v>
      </c>
      <c r="I8" s="219">
        <f t="shared" si="0"/>
        <v>104.06195500455996</v>
      </c>
    </row>
    <row r="9" spans="2:9" ht="14.25" customHeight="1" x14ac:dyDescent="0.2">
      <c r="B9" s="108">
        <f t="shared" ref="B9:B79" si="1">B8+1</f>
        <v>4</v>
      </c>
      <c r="C9" s="64"/>
      <c r="D9" s="64">
        <v>111</v>
      </c>
      <c r="E9" s="64"/>
      <c r="F9" s="2" t="s">
        <v>272</v>
      </c>
      <c r="G9" s="238">
        <f>G10</f>
        <v>20437671</v>
      </c>
      <c r="H9" s="17">
        <f>H10</f>
        <v>21267840</v>
      </c>
      <c r="I9" s="219">
        <f t="shared" si="0"/>
        <v>104.06195500455996</v>
      </c>
    </row>
    <row r="10" spans="2:9" x14ac:dyDescent="0.2">
      <c r="B10" s="108">
        <f t="shared" si="1"/>
        <v>5</v>
      </c>
      <c r="C10" s="65"/>
      <c r="D10" s="65"/>
      <c r="E10" s="65">
        <v>111003</v>
      </c>
      <c r="F10" s="3" t="s">
        <v>269</v>
      </c>
      <c r="G10" s="217">
        <f>19600000+175010+37840+624821</f>
        <v>20437671</v>
      </c>
      <c r="H10" s="60">
        <v>21267840</v>
      </c>
      <c r="I10" s="219">
        <f t="shared" si="0"/>
        <v>104.06195500455996</v>
      </c>
    </row>
    <row r="11" spans="2:9" x14ac:dyDescent="0.2">
      <c r="B11" s="108">
        <f t="shared" si="1"/>
        <v>6</v>
      </c>
      <c r="C11" s="63">
        <v>120</v>
      </c>
      <c r="D11" s="63"/>
      <c r="E11" s="63"/>
      <c r="F11" s="5" t="s">
        <v>274</v>
      </c>
      <c r="G11" s="237">
        <f>G12</f>
        <v>5590000</v>
      </c>
      <c r="H11" s="251">
        <f>H12</f>
        <v>5631434</v>
      </c>
      <c r="I11" s="219">
        <f t="shared" si="0"/>
        <v>100.74121645796063</v>
      </c>
    </row>
    <row r="12" spans="2:9" x14ac:dyDescent="0.2">
      <c r="B12" s="108">
        <f t="shared" si="1"/>
        <v>7</v>
      </c>
      <c r="C12" s="64"/>
      <c r="D12" s="64">
        <v>121</v>
      </c>
      <c r="E12" s="64"/>
      <c r="F12" s="2" t="s">
        <v>275</v>
      </c>
      <c r="G12" s="238">
        <f>G15+G14+G13</f>
        <v>5590000</v>
      </c>
      <c r="H12" s="17">
        <f>H15+H14+H13</f>
        <v>5631434</v>
      </c>
      <c r="I12" s="219">
        <f t="shared" si="0"/>
        <v>100.74121645796063</v>
      </c>
    </row>
    <row r="13" spans="2:9" x14ac:dyDescent="0.2">
      <c r="B13" s="108">
        <f t="shared" si="1"/>
        <v>8</v>
      </c>
      <c r="C13" s="65"/>
      <c r="D13" s="65"/>
      <c r="E13" s="65">
        <v>121001</v>
      </c>
      <c r="F13" s="3" t="s">
        <v>273</v>
      </c>
      <c r="G13" s="213">
        <v>575000</v>
      </c>
      <c r="H13" s="18">
        <v>584607</v>
      </c>
      <c r="I13" s="219">
        <f t="shared" si="0"/>
        <v>101.67078260869565</v>
      </c>
    </row>
    <row r="14" spans="2:9" x14ac:dyDescent="0.2">
      <c r="B14" s="108">
        <f t="shared" si="1"/>
        <v>9</v>
      </c>
      <c r="C14" s="65"/>
      <c r="D14" s="65"/>
      <c r="E14" s="65">
        <v>121002</v>
      </c>
      <c r="F14" s="3" t="s">
        <v>276</v>
      </c>
      <c r="G14" s="213">
        <v>4625000</v>
      </c>
      <c r="H14" s="18">
        <v>4630771</v>
      </c>
      <c r="I14" s="219">
        <f t="shared" si="0"/>
        <v>100.12477837837838</v>
      </c>
    </row>
    <row r="15" spans="2:9" x14ac:dyDescent="0.2">
      <c r="B15" s="108">
        <f t="shared" si="1"/>
        <v>10</v>
      </c>
      <c r="C15" s="65"/>
      <c r="D15" s="65"/>
      <c r="E15" s="65">
        <v>121003</v>
      </c>
      <c r="F15" s="3" t="s">
        <v>277</v>
      </c>
      <c r="G15" s="213">
        <v>390000</v>
      </c>
      <c r="H15" s="18">
        <v>416056</v>
      </c>
      <c r="I15" s="219">
        <f t="shared" si="0"/>
        <v>106.68102564102564</v>
      </c>
    </row>
    <row r="16" spans="2:9" x14ac:dyDescent="0.2">
      <c r="B16" s="108">
        <f t="shared" si="1"/>
        <v>11</v>
      </c>
      <c r="C16" s="63">
        <v>130</v>
      </c>
      <c r="D16" s="63"/>
      <c r="E16" s="63"/>
      <c r="F16" s="5" t="s">
        <v>279</v>
      </c>
      <c r="G16" s="237">
        <f>G17</f>
        <v>2549000</v>
      </c>
      <c r="H16" s="251">
        <f>H17</f>
        <v>2556045</v>
      </c>
      <c r="I16" s="219">
        <f t="shared" si="0"/>
        <v>100.27638289525305</v>
      </c>
    </row>
    <row r="17" spans="2:9" x14ac:dyDescent="0.2">
      <c r="B17" s="108">
        <f t="shared" si="1"/>
        <v>12</v>
      </c>
      <c r="C17" s="64"/>
      <c r="D17" s="64">
        <v>133</v>
      </c>
      <c r="E17" s="64"/>
      <c r="F17" s="2" t="s">
        <v>280</v>
      </c>
      <c r="G17" s="238">
        <f>G21+G20+G19+G18</f>
        <v>2549000</v>
      </c>
      <c r="H17" s="17">
        <f>H21+H20+H19+H18</f>
        <v>2556045</v>
      </c>
      <c r="I17" s="219">
        <f t="shared" si="0"/>
        <v>100.27638289525305</v>
      </c>
    </row>
    <row r="18" spans="2:9" x14ac:dyDescent="0.2">
      <c r="B18" s="108">
        <f t="shared" si="1"/>
        <v>13</v>
      </c>
      <c r="C18" s="65"/>
      <c r="D18" s="65"/>
      <c r="E18" s="65">
        <v>133001</v>
      </c>
      <c r="F18" s="3" t="s">
        <v>278</v>
      </c>
      <c r="G18" s="213">
        <v>53000</v>
      </c>
      <c r="H18" s="18">
        <v>48383</v>
      </c>
      <c r="I18" s="219">
        <f t="shared" si="0"/>
        <v>91.288679245283021</v>
      </c>
    </row>
    <row r="19" spans="2:9" x14ac:dyDescent="0.2">
      <c r="B19" s="108">
        <f t="shared" si="1"/>
        <v>14</v>
      </c>
      <c r="C19" s="65"/>
      <c r="D19" s="65"/>
      <c r="E19" s="65">
        <v>133006</v>
      </c>
      <c r="F19" s="3" t="s">
        <v>281</v>
      </c>
      <c r="G19" s="213">
        <v>86000</v>
      </c>
      <c r="H19" s="18">
        <v>98722</v>
      </c>
      <c r="I19" s="219">
        <f t="shared" si="0"/>
        <v>114.79302325581395</v>
      </c>
    </row>
    <row r="20" spans="2:9" x14ac:dyDescent="0.2">
      <c r="B20" s="108">
        <f t="shared" si="1"/>
        <v>15</v>
      </c>
      <c r="C20" s="65"/>
      <c r="D20" s="65"/>
      <c r="E20" s="65">
        <v>133012</v>
      </c>
      <c r="F20" s="3" t="s">
        <v>282</v>
      </c>
      <c r="G20" s="213">
        <v>60000</v>
      </c>
      <c r="H20" s="18">
        <v>69513</v>
      </c>
      <c r="I20" s="219">
        <f t="shared" si="0"/>
        <v>115.85499999999999</v>
      </c>
    </row>
    <row r="21" spans="2:9" x14ac:dyDescent="0.2">
      <c r="B21" s="108">
        <f t="shared" si="1"/>
        <v>16</v>
      </c>
      <c r="C21" s="65"/>
      <c r="D21" s="65"/>
      <c r="E21" s="65">
        <v>133013</v>
      </c>
      <c r="F21" s="3" t="s">
        <v>283</v>
      </c>
      <c r="G21" s="213">
        <v>2350000</v>
      </c>
      <c r="H21" s="18">
        <v>2339427</v>
      </c>
      <c r="I21" s="219">
        <f t="shared" si="0"/>
        <v>99.55008510638298</v>
      </c>
    </row>
    <row r="22" spans="2:9" ht="16.5" thickBot="1" x14ac:dyDescent="0.3">
      <c r="B22" s="108">
        <f t="shared" si="1"/>
        <v>17</v>
      </c>
      <c r="C22" s="61">
        <v>200</v>
      </c>
      <c r="D22" s="61"/>
      <c r="E22" s="61"/>
      <c r="F22" s="8" t="s">
        <v>174</v>
      </c>
      <c r="G22" s="235">
        <f>G407+G395+G384+G369+G357+G345+G332+G319+G303+G231+G137+G130+G57+G50+G23</f>
        <v>4979044</v>
      </c>
      <c r="H22" s="249">
        <f>H407+H395+H384+H369+H357+H345+H332+H319+H303+H231+H137+H130+H57+H50+H23</f>
        <v>5347659</v>
      </c>
      <c r="I22" s="219">
        <f t="shared" si="0"/>
        <v>107.40332883179984</v>
      </c>
    </row>
    <row r="23" spans="2:9" ht="15.75" thickBot="1" x14ac:dyDescent="0.3">
      <c r="B23" s="108">
        <f t="shared" si="1"/>
        <v>18</v>
      </c>
      <c r="C23" s="62"/>
      <c r="D23" s="62"/>
      <c r="E23" s="62"/>
      <c r="F23" s="9" t="s">
        <v>43</v>
      </c>
      <c r="G23" s="236">
        <f>G44+G41+G28+G24</f>
        <v>2167900</v>
      </c>
      <c r="H23" s="250">
        <f>H44+H41+H28+H24</f>
        <v>2327553</v>
      </c>
      <c r="I23" s="219">
        <f t="shared" si="0"/>
        <v>107.36440795239632</v>
      </c>
    </row>
    <row r="24" spans="2:9" x14ac:dyDescent="0.2">
      <c r="B24" s="108">
        <f t="shared" si="1"/>
        <v>19</v>
      </c>
      <c r="C24" s="63">
        <v>210</v>
      </c>
      <c r="D24" s="63"/>
      <c r="E24" s="63"/>
      <c r="F24" s="5" t="s">
        <v>250</v>
      </c>
      <c r="G24" s="237">
        <f>G25</f>
        <v>494950</v>
      </c>
      <c r="H24" s="251">
        <f>H25</f>
        <v>480970</v>
      </c>
      <c r="I24" s="219">
        <f t="shared" si="0"/>
        <v>97.17547226992626</v>
      </c>
    </row>
    <row r="25" spans="2:9" x14ac:dyDescent="0.2">
      <c r="B25" s="108">
        <f t="shared" si="1"/>
        <v>20</v>
      </c>
      <c r="C25" s="64"/>
      <c r="D25" s="64">
        <v>212</v>
      </c>
      <c r="E25" s="64"/>
      <c r="F25" s="2" t="s">
        <v>251</v>
      </c>
      <c r="G25" s="238">
        <f>G26+G27</f>
        <v>494950</v>
      </c>
      <c r="H25" s="17">
        <f>SUM(H26:H27)</f>
        <v>480970</v>
      </c>
      <c r="I25" s="219">
        <f t="shared" si="0"/>
        <v>97.17547226992626</v>
      </c>
    </row>
    <row r="26" spans="2:9" x14ac:dyDescent="0.2">
      <c r="B26" s="108">
        <f t="shared" si="1"/>
        <v>21</v>
      </c>
      <c r="C26" s="65"/>
      <c r="D26" s="65"/>
      <c r="E26" s="65">
        <v>212002</v>
      </c>
      <c r="F26" s="3" t="s">
        <v>284</v>
      </c>
      <c r="G26" s="213">
        <v>65000</v>
      </c>
      <c r="H26" s="18">
        <v>97839</v>
      </c>
      <c r="I26" s="219">
        <f t="shared" si="0"/>
        <v>150.52153846153846</v>
      </c>
    </row>
    <row r="27" spans="2:9" x14ac:dyDescent="0.2">
      <c r="B27" s="108">
        <f t="shared" si="1"/>
        <v>22</v>
      </c>
      <c r="C27" s="65"/>
      <c r="D27" s="65"/>
      <c r="E27" s="65">
        <v>212003</v>
      </c>
      <c r="F27" s="3" t="s">
        <v>252</v>
      </c>
      <c r="G27" s="213">
        <f>390000+14800+20000+150+5000</f>
        <v>429950</v>
      </c>
      <c r="H27" s="18">
        <f>382753+378</f>
        <v>383131</v>
      </c>
      <c r="I27" s="219">
        <f t="shared" si="0"/>
        <v>89.110594255145941</v>
      </c>
    </row>
    <row r="28" spans="2:9" x14ac:dyDescent="0.2">
      <c r="B28" s="108">
        <f t="shared" si="1"/>
        <v>23</v>
      </c>
      <c r="C28" s="63">
        <v>220</v>
      </c>
      <c r="D28" s="63"/>
      <c r="E28" s="63"/>
      <c r="F28" s="5" t="s">
        <v>225</v>
      </c>
      <c r="G28" s="237">
        <f>G39+G34+G32+G29</f>
        <v>1207750</v>
      </c>
      <c r="H28" s="251">
        <f>H39+H34+H32+H29</f>
        <v>1203426</v>
      </c>
      <c r="I28" s="219">
        <f t="shared" si="0"/>
        <v>99.641978886358928</v>
      </c>
    </row>
    <row r="29" spans="2:9" x14ac:dyDescent="0.2">
      <c r="B29" s="108">
        <f t="shared" si="1"/>
        <v>24</v>
      </c>
      <c r="C29" s="64"/>
      <c r="D29" s="64">
        <v>221</v>
      </c>
      <c r="E29" s="64"/>
      <c r="F29" s="2" t="s">
        <v>226</v>
      </c>
      <c r="G29" s="238">
        <f>G31+G30</f>
        <v>265000</v>
      </c>
      <c r="H29" s="17">
        <f>H31+H30</f>
        <v>189253</v>
      </c>
      <c r="I29" s="219">
        <f t="shared" si="0"/>
        <v>71.416226415094343</v>
      </c>
    </row>
    <row r="30" spans="2:9" x14ac:dyDescent="0.2">
      <c r="B30" s="108">
        <f t="shared" si="1"/>
        <v>25</v>
      </c>
      <c r="C30" s="65"/>
      <c r="D30" s="65"/>
      <c r="E30" s="65">
        <v>221004</v>
      </c>
      <c r="F30" s="3" t="s">
        <v>227</v>
      </c>
      <c r="G30" s="213">
        <v>150000</v>
      </c>
      <c r="H30" s="18">
        <v>189253</v>
      </c>
      <c r="I30" s="219">
        <f t="shared" si="0"/>
        <v>126.16866666666667</v>
      </c>
    </row>
    <row r="31" spans="2:9" x14ac:dyDescent="0.2">
      <c r="B31" s="108">
        <f t="shared" si="1"/>
        <v>26</v>
      </c>
      <c r="C31" s="65"/>
      <c r="D31" s="65"/>
      <c r="E31" s="65">
        <v>221005</v>
      </c>
      <c r="F31" s="3" t="s">
        <v>62</v>
      </c>
      <c r="G31" s="213">
        <v>115000</v>
      </c>
      <c r="H31" s="18">
        <v>0</v>
      </c>
      <c r="I31" s="219">
        <f t="shared" si="0"/>
        <v>0</v>
      </c>
    </row>
    <row r="32" spans="2:9" x14ac:dyDescent="0.2">
      <c r="B32" s="108">
        <f t="shared" si="1"/>
        <v>27</v>
      </c>
      <c r="C32" s="64"/>
      <c r="D32" s="64">
        <v>222</v>
      </c>
      <c r="E32" s="64"/>
      <c r="F32" s="2" t="s">
        <v>61</v>
      </c>
      <c r="G32" s="238">
        <f>G33</f>
        <v>100000</v>
      </c>
      <c r="H32" s="17">
        <f>H33</f>
        <v>101252</v>
      </c>
      <c r="I32" s="219">
        <f t="shared" si="0"/>
        <v>101.25200000000001</v>
      </c>
    </row>
    <row r="33" spans="2:9" x14ac:dyDescent="0.2">
      <c r="B33" s="108">
        <f t="shared" si="1"/>
        <v>28</v>
      </c>
      <c r="C33" s="65"/>
      <c r="D33" s="65"/>
      <c r="E33" s="65">
        <v>222003</v>
      </c>
      <c r="F33" s="3" t="s">
        <v>60</v>
      </c>
      <c r="G33" s="213">
        <v>100000</v>
      </c>
      <c r="H33" s="18">
        <v>101252</v>
      </c>
      <c r="I33" s="219">
        <f t="shared" si="0"/>
        <v>101.25200000000001</v>
      </c>
    </row>
    <row r="34" spans="2:9" x14ac:dyDescent="0.2">
      <c r="B34" s="108">
        <f t="shared" si="1"/>
        <v>29</v>
      </c>
      <c r="C34" s="64"/>
      <c r="D34" s="64">
        <v>223</v>
      </c>
      <c r="E34" s="64"/>
      <c r="F34" s="2" t="s">
        <v>254</v>
      </c>
      <c r="G34" s="238">
        <f>G35+G36+G37</f>
        <v>842300</v>
      </c>
      <c r="H34" s="17">
        <f>H35+H36+H37+H38</f>
        <v>912120</v>
      </c>
      <c r="I34" s="219">
        <f t="shared" si="0"/>
        <v>108.28920812062211</v>
      </c>
    </row>
    <row r="35" spans="2:9" x14ac:dyDescent="0.2">
      <c r="B35" s="108">
        <f t="shared" si="1"/>
        <v>30</v>
      </c>
      <c r="C35" s="65"/>
      <c r="D35" s="65"/>
      <c r="E35" s="65">
        <v>223001</v>
      </c>
      <c r="F35" s="3" t="s">
        <v>255</v>
      </c>
      <c r="G35" s="213">
        <f>100000+2000+1000+8500+1500+1500+45000+1000+4500+1000</f>
        <v>166000</v>
      </c>
      <c r="H35" s="18">
        <f>271+350+99+198+28</f>
        <v>946</v>
      </c>
      <c r="I35" s="219">
        <f t="shared" si="0"/>
        <v>0.5698795180722892</v>
      </c>
    </row>
    <row r="36" spans="2:9" x14ac:dyDescent="0.2">
      <c r="B36" s="108">
        <f t="shared" si="1"/>
        <v>31</v>
      </c>
      <c r="C36" s="65"/>
      <c r="D36" s="65"/>
      <c r="E36" s="65">
        <v>223001</v>
      </c>
      <c r="F36" s="3" t="s">
        <v>354</v>
      </c>
      <c r="G36" s="213">
        <f>800000-150000</f>
        <v>650000</v>
      </c>
      <c r="H36" s="18">
        <f>882456-H35</f>
        <v>881510</v>
      </c>
      <c r="I36" s="219">
        <f t="shared" si="0"/>
        <v>135.61692307692309</v>
      </c>
    </row>
    <row r="37" spans="2:9" x14ac:dyDescent="0.2">
      <c r="B37" s="108">
        <f t="shared" si="1"/>
        <v>32</v>
      </c>
      <c r="C37" s="65"/>
      <c r="D37" s="65"/>
      <c r="E37" s="118">
        <v>223</v>
      </c>
      <c r="F37" s="3" t="s">
        <v>427</v>
      </c>
      <c r="G37" s="213">
        <v>26300</v>
      </c>
      <c r="H37" s="18">
        <v>29034</v>
      </c>
      <c r="I37" s="219">
        <f t="shared" si="0"/>
        <v>110.3954372623574</v>
      </c>
    </row>
    <row r="38" spans="2:9" x14ac:dyDescent="0.2">
      <c r="B38" s="108">
        <f t="shared" si="1"/>
        <v>33</v>
      </c>
      <c r="C38" s="65"/>
      <c r="D38" s="65"/>
      <c r="E38" s="118">
        <v>223004</v>
      </c>
      <c r="F38" s="3" t="s">
        <v>681</v>
      </c>
      <c r="G38" s="213">
        <v>0</v>
      </c>
      <c r="H38" s="18">
        <v>630</v>
      </c>
      <c r="I38" s="219"/>
    </row>
    <row r="39" spans="2:9" x14ac:dyDescent="0.2">
      <c r="B39" s="108">
        <f t="shared" si="1"/>
        <v>34</v>
      </c>
      <c r="C39" s="64"/>
      <c r="D39" s="64">
        <v>229</v>
      </c>
      <c r="E39" s="64"/>
      <c r="F39" s="2" t="s">
        <v>266</v>
      </c>
      <c r="G39" s="238">
        <f>G40</f>
        <v>450</v>
      </c>
      <c r="H39" s="17">
        <f>H40</f>
        <v>801</v>
      </c>
      <c r="I39" s="219">
        <f t="shared" si="0"/>
        <v>178</v>
      </c>
    </row>
    <row r="40" spans="2:9" x14ac:dyDescent="0.2">
      <c r="B40" s="108">
        <f t="shared" si="1"/>
        <v>35</v>
      </c>
      <c r="C40" s="65"/>
      <c r="D40" s="65"/>
      <c r="E40" s="65">
        <v>229005</v>
      </c>
      <c r="F40" s="3" t="s">
        <v>267</v>
      </c>
      <c r="G40" s="213">
        <v>450</v>
      </c>
      <c r="H40" s="18">
        <v>801</v>
      </c>
      <c r="I40" s="219">
        <f t="shared" si="0"/>
        <v>178</v>
      </c>
    </row>
    <row r="41" spans="2:9" x14ac:dyDescent="0.2">
      <c r="B41" s="108">
        <f t="shared" si="1"/>
        <v>36</v>
      </c>
      <c r="C41" s="63">
        <v>240</v>
      </c>
      <c r="D41" s="63"/>
      <c r="E41" s="63"/>
      <c r="F41" s="5" t="s">
        <v>179</v>
      </c>
      <c r="G41" s="237">
        <f>G42</f>
        <v>4000</v>
      </c>
      <c r="H41" s="251">
        <f>H42</f>
        <v>4273</v>
      </c>
      <c r="I41" s="219">
        <f t="shared" si="0"/>
        <v>106.82499999999999</v>
      </c>
    </row>
    <row r="42" spans="2:9" x14ac:dyDescent="0.2">
      <c r="B42" s="108">
        <f t="shared" si="1"/>
        <v>37</v>
      </c>
      <c r="C42" s="64"/>
      <c r="D42" s="64">
        <v>242</v>
      </c>
      <c r="E42" s="64"/>
      <c r="F42" s="2" t="s">
        <v>178</v>
      </c>
      <c r="G42" s="238">
        <f>G43</f>
        <v>4000</v>
      </c>
      <c r="H42" s="17">
        <f>H43</f>
        <v>4273</v>
      </c>
      <c r="I42" s="219">
        <f t="shared" si="0"/>
        <v>106.82499999999999</v>
      </c>
    </row>
    <row r="43" spans="2:9" x14ac:dyDescent="0.2">
      <c r="B43" s="108">
        <f t="shared" si="1"/>
        <v>38</v>
      </c>
      <c r="C43" s="65"/>
      <c r="D43" s="65"/>
      <c r="E43" s="65">
        <v>242</v>
      </c>
      <c r="F43" s="3" t="s">
        <v>178</v>
      </c>
      <c r="G43" s="213">
        <v>4000</v>
      </c>
      <c r="H43" s="18">
        <v>4273</v>
      </c>
      <c r="I43" s="219">
        <f t="shared" si="0"/>
        <v>106.82499999999999</v>
      </c>
    </row>
    <row r="44" spans="2:9" x14ac:dyDescent="0.2">
      <c r="B44" s="108">
        <f t="shared" si="1"/>
        <v>39</v>
      </c>
      <c r="C44" s="63">
        <v>290</v>
      </c>
      <c r="D44" s="63"/>
      <c r="E44" s="63"/>
      <c r="F44" s="5" t="s">
        <v>181</v>
      </c>
      <c r="G44" s="237">
        <f>G45</f>
        <v>461200</v>
      </c>
      <c r="H44" s="251">
        <f>H45</f>
        <v>638884</v>
      </c>
      <c r="I44" s="219">
        <f t="shared" si="0"/>
        <v>138.52645273200349</v>
      </c>
    </row>
    <row r="45" spans="2:9" x14ac:dyDescent="0.2">
      <c r="B45" s="108">
        <f t="shared" si="1"/>
        <v>40</v>
      </c>
      <c r="C45" s="64"/>
      <c r="D45" s="64">
        <v>292</v>
      </c>
      <c r="E45" s="64"/>
      <c r="F45" s="2" t="s">
        <v>182</v>
      </c>
      <c r="G45" s="238">
        <f>SUM(G46:G49)</f>
        <v>461200</v>
      </c>
      <c r="H45" s="17">
        <f>SUM(H46:H49)</f>
        <v>638884</v>
      </c>
      <c r="I45" s="219">
        <f t="shared" si="0"/>
        <v>138.52645273200349</v>
      </c>
    </row>
    <row r="46" spans="2:9" x14ac:dyDescent="0.2">
      <c r="B46" s="108">
        <f t="shared" si="1"/>
        <v>41</v>
      </c>
      <c r="C46" s="65"/>
      <c r="D46" s="65"/>
      <c r="E46" s="65">
        <v>292008</v>
      </c>
      <c r="F46" s="3" t="s">
        <v>183</v>
      </c>
      <c r="G46" s="213">
        <v>300000</v>
      </c>
      <c r="H46" s="18">
        <v>411130</v>
      </c>
      <c r="I46" s="219">
        <f t="shared" si="0"/>
        <v>137.04333333333335</v>
      </c>
    </row>
    <row r="47" spans="2:9" x14ac:dyDescent="0.2">
      <c r="B47" s="108">
        <f t="shared" si="1"/>
        <v>42</v>
      </c>
      <c r="C47" s="65"/>
      <c r="D47" s="65"/>
      <c r="E47" s="65">
        <v>292012</v>
      </c>
      <c r="F47" s="3" t="s">
        <v>236</v>
      </c>
      <c r="G47" s="213">
        <v>30000</v>
      </c>
      <c r="H47" s="18">
        <v>13685</v>
      </c>
      <c r="I47" s="219">
        <f t="shared" si="0"/>
        <v>45.616666666666667</v>
      </c>
    </row>
    <row r="48" spans="2:9" x14ac:dyDescent="0.2">
      <c r="B48" s="108">
        <f t="shared" si="1"/>
        <v>43</v>
      </c>
      <c r="C48" s="65"/>
      <c r="D48" s="65"/>
      <c r="E48" s="65">
        <v>292017</v>
      </c>
      <c r="F48" s="3" t="s">
        <v>237</v>
      </c>
      <c r="G48" s="213">
        <v>80000</v>
      </c>
      <c r="H48" s="18">
        <v>26210</v>
      </c>
      <c r="I48" s="219">
        <f t="shared" si="0"/>
        <v>32.762500000000003</v>
      </c>
    </row>
    <row r="49" spans="2:9" ht="13.5" thickBot="1" x14ac:dyDescent="0.25">
      <c r="B49" s="108">
        <f t="shared" si="1"/>
        <v>44</v>
      </c>
      <c r="C49" s="65"/>
      <c r="D49" s="65"/>
      <c r="E49" s="65">
        <v>292027</v>
      </c>
      <c r="F49" s="3" t="s">
        <v>230</v>
      </c>
      <c r="G49" s="213">
        <v>51200</v>
      </c>
      <c r="H49" s="18">
        <f>4155+8995+174709</f>
        <v>187859</v>
      </c>
      <c r="I49" s="219">
        <f t="shared" si="0"/>
        <v>366.912109375</v>
      </c>
    </row>
    <row r="50" spans="2:9" ht="15.75" thickBot="1" x14ac:dyDescent="0.3">
      <c r="B50" s="108">
        <f t="shared" si="1"/>
        <v>45</v>
      </c>
      <c r="C50" s="62">
        <v>1</v>
      </c>
      <c r="D50" s="62"/>
      <c r="E50" s="62"/>
      <c r="F50" s="9" t="s">
        <v>54</v>
      </c>
      <c r="G50" s="236">
        <f>G51+G54</f>
        <v>5282</v>
      </c>
      <c r="H50" s="250">
        <f>H51+H54</f>
        <v>5282</v>
      </c>
      <c r="I50" s="219">
        <f t="shared" si="0"/>
        <v>100</v>
      </c>
    </row>
    <row r="51" spans="2:9" x14ac:dyDescent="0.2">
      <c r="B51" s="108">
        <f t="shared" si="1"/>
        <v>46</v>
      </c>
      <c r="C51" s="181">
        <v>220</v>
      </c>
      <c r="D51" s="63"/>
      <c r="E51" s="63"/>
      <c r="F51" s="5" t="s">
        <v>225</v>
      </c>
      <c r="G51" s="239">
        <f>G52</f>
        <v>5179</v>
      </c>
      <c r="H51" s="252">
        <f>H52</f>
        <v>5179</v>
      </c>
      <c r="I51" s="219">
        <f t="shared" si="0"/>
        <v>100</v>
      </c>
    </row>
    <row r="52" spans="2:9" x14ac:dyDescent="0.2">
      <c r="B52" s="108">
        <f t="shared" si="1"/>
        <v>47</v>
      </c>
      <c r="C52" s="182"/>
      <c r="D52" s="69">
        <v>223</v>
      </c>
      <c r="E52" s="64"/>
      <c r="F52" s="2" t="s">
        <v>254</v>
      </c>
      <c r="G52" s="238">
        <f>G53</f>
        <v>5179</v>
      </c>
      <c r="H52" s="17">
        <f>H53</f>
        <v>5179</v>
      </c>
      <c r="I52" s="219">
        <f t="shared" si="0"/>
        <v>100</v>
      </c>
    </row>
    <row r="53" spans="2:9" x14ac:dyDescent="0.2">
      <c r="B53" s="108">
        <f t="shared" si="1"/>
        <v>48</v>
      </c>
      <c r="C53" s="396"/>
      <c r="D53" s="71"/>
      <c r="E53" s="65">
        <v>223</v>
      </c>
      <c r="F53" s="3" t="s">
        <v>594</v>
      </c>
      <c r="G53" s="213">
        <f>4090+900+189</f>
        <v>5179</v>
      </c>
      <c r="H53" s="18">
        <v>5179</v>
      </c>
      <c r="I53" s="219">
        <f t="shared" si="0"/>
        <v>100</v>
      </c>
    </row>
    <row r="54" spans="2:9" x14ac:dyDescent="0.2">
      <c r="B54" s="108">
        <f t="shared" si="1"/>
        <v>49</v>
      </c>
      <c r="C54" s="63">
        <v>290</v>
      </c>
      <c r="D54" s="63"/>
      <c r="E54" s="67"/>
      <c r="F54" s="5" t="s">
        <v>181</v>
      </c>
      <c r="G54" s="237">
        <f>G55</f>
        <v>103</v>
      </c>
      <c r="H54" s="251">
        <f>H55</f>
        <v>103</v>
      </c>
      <c r="I54" s="219">
        <f t="shared" si="0"/>
        <v>100</v>
      </c>
    </row>
    <row r="55" spans="2:9" x14ac:dyDescent="0.2">
      <c r="B55" s="108">
        <f t="shared" si="1"/>
        <v>50</v>
      </c>
      <c r="C55" s="68"/>
      <c r="D55" s="64">
        <v>292</v>
      </c>
      <c r="E55" s="69"/>
      <c r="F55" s="2" t="s">
        <v>182</v>
      </c>
      <c r="G55" s="238">
        <f>SUM(G56:G56)</f>
        <v>103</v>
      </c>
      <c r="H55" s="17">
        <f>SUM(H56:H56)</f>
        <v>103</v>
      </c>
      <c r="I55" s="219">
        <f t="shared" si="0"/>
        <v>100</v>
      </c>
    </row>
    <row r="56" spans="2:9" ht="13.5" thickBot="1" x14ac:dyDescent="0.25">
      <c r="B56" s="108">
        <f t="shared" si="1"/>
        <v>51</v>
      </c>
      <c r="C56" s="205"/>
      <c r="D56" s="207"/>
      <c r="E56" s="205">
        <v>292017</v>
      </c>
      <c r="F56" s="14" t="s">
        <v>237</v>
      </c>
      <c r="G56" s="240">
        <v>103</v>
      </c>
      <c r="H56" s="253">
        <v>103</v>
      </c>
      <c r="I56" s="219">
        <f t="shared" si="0"/>
        <v>100</v>
      </c>
    </row>
    <row r="57" spans="2:9" ht="15.75" thickBot="1" x14ac:dyDescent="0.3">
      <c r="B57" s="108">
        <f t="shared" si="1"/>
        <v>52</v>
      </c>
      <c r="C57" s="62">
        <v>2</v>
      </c>
      <c r="D57" s="62"/>
      <c r="E57" s="62"/>
      <c r="F57" s="9" t="s">
        <v>18</v>
      </c>
      <c r="G57" s="236">
        <f>G61+G66+G69+G75+G82+G90+G98+G105+G109+G116+G123</f>
        <v>557849</v>
      </c>
      <c r="H57" s="250">
        <f>H61+H66+H69+H75+H82+H90+H98+H105+H109+H116+H123+H58</f>
        <v>658900</v>
      </c>
      <c r="I57" s="219">
        <f t="shared" si="0"/>
        <v>118.11440013336943</v>
      </c>
    </row>
    <row r="58" spans="2:9" x14ac:dyDescent="0.2">
      <c r="B58" s="108">
        <f t="shared" si="1"/>
        <v>53</v>
      </c>
      <c r="C58" s="68">
        <v>210</v>
      </c>
      <c r="D58" s="64"/>
      <c r="E58" s="69"/>
      <c r="F58" s="2" t="s">
        <v>250</v>
      </c>
      <c r="G58" s="238">
        <f>G59</f>
        <v>0</v>
      </c>
      <c r="H58" s="17">
        <f>H59</f>
        <v>2425</v>
      </c>
      <c r="I58" s="219">
        <v>0</v>
      </c>
    </row>
    <row r="59" spans="2:9" x14ac:dyDescent="0.2">
      <c r="B59" s="108">
        <f t="shared" si="1"/>
        <v>54</v>
      </c>
      <c r="C59" s="70"/>
      <c r="D59" s="65">
        <v>212</v>
      </c>
      <c r="E59" s="71"/>
      <c r="F59" s="3" t="s">
        <v>251</v>
      </c>
      <c r="G59" s="213">
        <f>G60</f>
        <v>0</v>
      </c>
      <c r="H59" s="18">
        <f>H60</f>
        <v>2425</v>
      </c>
      <c r="I59" s="219">
        <v>0</v>
      </c>
    </row>
    <row r="60" spans="2:9" x14ac:dyDescent="0.2">
      <c r="B60" s="108">
        <f t="shared" si="1"/>
        <v>55</v>
      </c>
      <c r="C60" s="12"/>
      <c r="D60" s="4"/>
      <c r="E60" s="13">
        <v>212003</v>
      </c>
      <c r="F60" s="4" t="s">
        <v>252</v>
      </c>
      <c r="G60" s="214">
        <v>0</v>
      </c>
      <c r="H60" s="20">
        <v>2425</v>
      </c>
      <c r="I60" s="219">
        <v>0</v>
      </c>
    </row>
    <row r="61" spans="2:9" x14ac:dyDescent="0.2">
      <c r="B61" s="108">
        <f t="shared" si="1"/>
        <v>56</v>
      </c>
      <c r="C61" s="64">
        <v>220</v>
      </c>
      <c r="D61" s="64"/>
      <c r="E61" s="64"/>
      <c r="F61" s="2" t="s">
        <v>225</v>
      </c>
      <c r="G61" s="238">
        <f>G62</f>
        <v>50</v>
      </c>
      <c r="H61" s="17">
        <f>H62+H64</f>
        <v>7337</v>
      </c>
      <c r="I61" s="219">
        <f t="shared" si="0"/>
        <v>14674</v>
      </c>
    </row>
    <row r="62" spans="2:9" x14ac:dyDescent="0.2">
      <c r="B62" s="108">
        <f t="shared" si="1"/>
        <v>57</v>
      </c>
      <c r="C62" s="65"/>
      <c r="D62" s="65">
        <v>222</v>
      </c>
      <c r="E62" s="65"/>
      <c r="F62" s="3" t="s">
        <v>61</v>
      </c>
      <c r="G62" s="213">
        <f>G63</f>
        <v>50</v>
      </c>
      <c r="H62" s="18">
        <f>H63</f>
        <v>47</v>
      </c>
      <c r="I62" s="219">
        <f t="shared" si="0"/>
        <v>94</v>
      </c>
    </row>
    <row r="63" spans="2:9" x14ac:dyDescent="0.2">
      <c r="B63" s="108">
        <f t="shared" si="1"/>
        <v>58</v>
      </c>
      <c r="C63" s="4"/>
      <c r="D63" s="4"/>
      <c r="E63" s="4">
        <v>222003</v>
      </c>
      <c r="F63" s="4" t="s">
        <v>60</v>
      </c>
      <c r="G63" s="214">
        <v>50</v>
      </c>
      <c r="H63" s="20">
        <v>47</v>
      </c>
      <c r="I63" s="219">
        <f t="shared" si="0"/>
        <v>94</v>
      </c>
    </row>
    <row r="64" spans="2:9" x14ac:dyDescent="0.2">
      <c r="B64" s="108">
        <f t="shared" si="1"/>
        <v>59</v>
      </c>
      <c r="C64" s="4"/>
      <c r="D64" s="65">
        <v>223</v>
      </c>
      <c r="E64" s="71"/>
      <c r="F64" s="3" t="s">
        <v>254</v>
      </c>
      <c r="G64" s="213">
        <f>G65</f>
        <v>0</v>
      </c>
      <c r="H64" s="18">
        <f>H65</f>
        <v>7290</v>
      </c>
      <c r="I64" s="219">
        <v>0</v>
      </c>
    </row>
    <row r="65" spans="2:9" x14ac:dyDescent="0.2">
      <c r="B65" s="108">
        <f t="shared" si="1"/>
        <v>60</v>
      </c>
      <c r="C65" s="4"/>
      <c r="D65" s="4"/>
      <c r="E65" s="13">
        <v>223001</v>
      </c>
      <c r="F65" s="4" t="s">
        <v>255</v>
      </c>
      <c r="G65" s="214">
        <v>0</v>
      </c>
      <c r="H65" s="20">
        <f>5665+1625</f>
        <v>7290</v>
      </c>
      <c r="I65" s="219">
        <v>0</v>
      </c>
    </row>
    <row r="66" spans="2:9" x14ac:dyDescent="0.2">
      <c r="B66" s="108">
        <f t="shared" si="1"/>
        <v>61</v>
      </c>
      <c r="C66" s="64">
        <v>240</v>
      </c>
      <c r="D66" s="64"/>
      <c r="E66" s="64"/>
      <c r="F66" s="2" t="s">
        <v>179</v>
      </c>
      <c r="G66" s="238">
        <f>G67</f>
        <v>50</v>
      </c>
      <c r="H66" s="17">
        <f>H67</f>
        <v>0</v>
      </c>
      <c r="I66" s="219">
        <f t="shared" si="0"/>
        <v>0</v>
      </c>
    </row>
    <row r="67" spans="2:9" x14ac:dyDescent="0.2">
      <c r="B67" s="108">
        <f t="shared" si="1"/>
        <v>62</v>
      </c>
      <c r="C67" s="65"/>
      <c r="D67" s="65">
        <v>242</v>
      </c>
      <c r="E67" s="65"/>
      <c r="F67" s="3" t="s">
        <v>178</v>
      </c>
      <c r="G67" s="213">
        <f>G68</f>
        <v>50</v>
      </c>
      <c r="H67" s="18">
        <f>H68</f>
        <v>0</v>
      </c>
      <c r="I67" s="219">
        <f t="shared" si="0"/>
        <v>0</v>
      </c>
    </row>
    <row r="68" spans="2:9" x14ac:dyDescent="0.2">
      <c r="B68" s="108">
        <f t="shared" si="1"/>
        <v>63</v>
      </c>
      <c r="C68" s="4"/>
      <c r="D68" s="4"/>
      <c r="E68" s="4">
        <v>242</v>
      </c>
      <c r="F68" s="4" t="s">
        <v>178</v>
      </c>
      <c r="G68" s="214">
        <v>50</v>
      </c>
      <c r="H68" s="20">
        <v>0</v>
      </c>
      <c r="I68" s="219">
        <f t="shared" si="0"/>
        <v>0</v>
      </c>
    </row>
    <row r="69" spans="2:9" x14ac:dyDescent="0.2">
      <c r="B69" s="108">
        <f t="shared" si="1"/>
        <v>64</v>
      </c>
      <c r="C69" s="64">
        <v>290</v>
      </c>
      <c r="D69" s="64"/>
      <c r="E69" s="64"/>
      <c r="F69" s="2" t="s">
        <v>181</v>
      </c>
      <c r="G69" s="238">
        <f>G70</f>
        <v>2050</v>
      </c>
      <c r="H69" s="17">
        <f>H70</f>
        <v>19066</v>
      </c>
      <c r="I69" s="219">
        <f t="shared" si="0"/>
        <v>930.04878048780495</v>
      </c>
    </row>
    <row r="70" spans="2:9" x14ac:dyDescent="0.2">
      <c r="B70" s="108">
        <f t="shared" si="1"/>
        <v>65</v>
      </c>
      <c r="C70" s="65"/>
      <c r="D70" s="65">
        <v>292</v>
      </c>
      <c r="E70" s="65"/>
      <c r="F70" s="3" t="s">
        <v>182</v>
      </c>
      <c r="G70" s="213">
        <f>SUM(G72:G74)</f>
        <v>2050</v>
      </c>
      <c r="H70" s="18">
        <f>SUM(H71:H74)</f>
        <v>19066</v>
      </c>
      <c r="I70" s="219">
        <f t="shared" si="0"/>
        <v>930.04878048780495</v>
      </c>
    </row>
    <row r="71" spans="2:9" x14ac:dyDescent="0.2">
      <c r="B71" s="108">
        <f t="shared" si="1"/>
        <v>66</v>
      </c>
      <c r="C71" s="65"/>
      <c r="D71" s="65"/>
      <c r="E71" s="4">
        <v>292006</v>
      </c>
      <c r="F71" s="4" t="s">
        <v>180</v>
      </c>
      <c r="G71" s="214">
        <v>0</v>
      </c>
      <c r="H71" s="20">
        <v>2820</v>
      </c>
      <c r="I71" s="219">
        <v>0</v>
      </c>
    </row>
    <row r="72" spans="2:9" x14ac:dyDescent="0.2">
      <c r="B72" s="108">
        <f t="shared" si="1"/>
        <v>67</v>
      </c>
      <c r="C72" s="4"/>
      <c r="D72" s="4"/>
      <c r="E72" s="4">
        <v>292012</v>
      </c>
      <c r="F72" s="4" t="s">
        <v>236</v>
      </c>
      <c r="G72" s="214">
        <v>1000</v>
      </c>
      <c r="H72" s="20">
        <v>14941</v>
      </c>
      <c r="I72" s="219">
        <f t="shared" si="0"/>
        <v>1494.1000000000001</v>
      </c>
    </row>
    <row r="73" spans="2:9" x14ac:dyDescent="0.2">
      <c r="B73" s="108">
        <f t="shared" si="1"/>
        <v>68</v>
      </c>
      <c r="C73" s="4"/>
      <c r="D73" s="4"/>
      <c r="E73" s="4">
        <v>292017</v>
      </c>
      <c r="F73" s="4" t="s">
        <v>237</v>
      </c>
      <c r="G73" s="214">
        <v>50</v>
      </c>
      <c r="H73" s="20">
        <v>1305</v>
      </c>
      <c r="I73" s="219">
        <f t="shared" si="0"/>
        <v>2610</v>
      </c>
    </row>
    <row r="74" spans="2:9" x14ac:dyDescent="0.2">
      <c r="B74" s="108">
        <f t="shared" si="1"/>
        <v>69</v>
      </c>
      <c r="C74" s="4"/>
      <c r="D74" s="4"/>
      <c r="E74" s="4">
        <v>292027</v>
      </c>
      <c r="F74" s="4" t="s">
        <v>230</v>
      </c>
      <c r="G74" s="214">
        <v>1000</v>
      </c>
      <c r="H74" s="20">
        <v>0</v>
      </c>
      <c r="I74" s="219">
        <f t="shared" si="0"/>
        <v>0</v>
      </c>
    </row>
    <row r="75" spans="2:9" x14ac:dyDescent="0.2">
      <c r="B75" s="108">
        <f t="shared" si="1"/>
        <v>70</v>
      </c>
      <c r="C75" s="66"/>
      <c r="D75" s="63"/>
      <c r="E75" s="67"/>
      <c r="F75" s="5" t="s">
        <v>52</v>
      </c>
      <c r="G75" s="237">
        <f>G76+G79</f>
        <v>167000</v>
      </c>
      <c r="H75" s="251">
        <f>H76+H79</f>
        <v>174015</v>
      </c>
      <c r="I75" s="219">
        <f t="shared" si="0"/>
        <v>104.20059880239521</v>
      </c>
    </row>
    <row r="76" spans="2:9" x14ac:dyDescent="0.2">
      <c r="B76" s="108">
        <f t="shared" si="1"/>
        <v>71</v>
      </c>
      <c r="C76" s="68">
        <v>210</v>
      </c>
      <c r="D76" s="64"/>
      <c r="E76" s="69"/>
      <c r="F76" s="2" t="s">
        <v>250</v>
      </c>
      <c r="G76" s="238">
        <f>G77</f>
        <v>12000</v>
      </c>
      <c r="H76" s="17">
        <f>H77</f>
        <v>11456</v>
      </c>
      <c r="I76" s="219">
        <f t="shared" si="0"/>
        <v>95.466666666666669</v>
      </c>
    </row>
    <row r="77" spans="2:9" x14ac:dyDescent="0.2">
      <c r="B77" s="108">
        <f t="shared" si="1"/>
        <v>72</v>
      </c>
      <c r="C77" s="70"/>
      <c r="D77" s="65">
        <v>212</v>
      </c>
      <c r="E77" s="71"/>
      <c r="F77" s="3" t="s">
        <v>251</v>
      </c>
      <c r="G77" s="213">
        <f>G78</f>
        <v>12000</v>
      </c>
      <c r="H77" s="18">
        <f>H78</f>
        <v>11456</v>
      </c>
      <c r="I77" s="219">
        <f t="shared" ref="I77:I144" si="2">H77/G77*100</f>
        <v>95.466666666666669</v>
      </c>
    </row>
    <row r="78" spans="2:9" x14ac:dyDescent="0.2">
      <c r="B78" s="108">
        <f t="shared" si="1"/>
        <v>73</v>
      </c>
      <c r="C78" s="12"/>
      <c r="D78" s="4"/>
      <c r="E78" s="13">
        <v>212003</v>
      </c>
      <c r="F78" s="4" t="s">
        <v>252</v>
      </c>
      <c r="G78" s="214">
        <v>12000</v>
      </c>
      <c r="H78" s="20">
        <v>11456</v>
      </c>
      <c r="I78" s="219">
        <f t="shared" si="2"/>
        <v>95.466666666666669</v>
      </c>
    </row>
    <row r="79" spans="2:9" x14ac:dyDescent="0.2">
      <c r="B79" s="108">
        <f t="shared" si="1"/>
        <v>74</v>
      </c>
      <c r="C79" s="68">
        <v>220</v>
      </c>
      <c r="D79" s="64"/>
      <c r="E79" s="69"/>
      <c r="F79" s="2" t="s">
        <v>225</v>
      </c>
      <c r="G79" s="238">
        <f>G80</f>
        <v>155000</v>
      </c>
      <c r="H79" s="17">
        <f>H80</f>
        <v>162559</v>
      </c>
      <c r="I79" s="219">
        <f t="shared" si="2"/>
        <v>104.8767741935484</v>
      </c>
    </row>
    <row r="80" spans="2:9" x14ac:dyDescent="0.2">
      <c r="B80" s="108">
        <f t="shared" ref="B80:B147" si="3">B79+1</f>
        <v>75</v>
      </c>
      <c r="C80" s="70"/>
      <c r="D80" s="65">
        <v>223</v>
      </c>
      <c r="E80" s="71"/>
      <c r="F80" s="3" t="s">
        <v>254</v>
      </c>
      <c r="G80" s="213">
        <f>G81</f>
        <v>155000</v>
      </c>
      <c r="H80" s="18">
        <f>H81</f>
        <v>162559</v>
      </c>
      <c r="I80" s="219">
        <f t="shared" si="2"/>
        <v>104.8767741935484</v>
      </c>
    </row>
    <row r="81" spans="2:9" x14ac:dyDescent="0.2">
      <c r="B81" s="108">
        <f t="shared" si="3"/>
        <v>76</v>
      </c>
      <c r="C81" s="12"/>
      <c r="D81" s="4"/>
      <c r="E81" s="13">
        <v>223001</v>
      </c>
      <c r="F81" s="4" t="s">
        <v>255</v>
      </c>
      <c r="G81" s="214">
        <v>155000</v>
      </c>
      <c r="H81" s="20">
        <f>12756+149803</f>
        <v>162559</v>
      </c>
      <c r="I81" s="219">
        <f t="shared" si="2"/>
        <v>104.8767741935484</v>
      </c>
    </row>
    <row r="82" spans="2:9" x14ac:dyDescent="0.2">
      <c r="B82" s="108">
        <f t="shared" si="3"/>
        <v>77</v>
      </c>
      <c r="C82" s="66"/>
      <c r="D82" s="63"/>
      <c r="E82" s="67"/>
      <c r="F82" s="5" t="s">
        <v>425</v>
      </c>
      <c r="G82" s="237">
        <f>G83+G87</f>
        <v>164500</v>
      </c>
      <c r="H82" s="251">
        <f>H83+H87</f>
        <v>196345</v>
      </c>
      <c r="I82" s="219">
        <f t="shared" si="2"/>
        <v>119.35866261398176</v>
      </c>
    </row>
    <row r="83" spans="2:9" x14ac:dyDescent="0.2">
      <c r="B83" s="108">
        <f t="shared" si="3"/>
        <v>78</v>
      </c>
      <c r="C83" s="68">
        <v>210</v>
      </c>
      <c r="D83" s="64"/>
      <c r="E83" s="69"/>
      <c r="F83" s="2" t="s">
        <v>250</v>
      </c>
      <c r="G83" s="238">
        <f>G84</f>
        <v>10500</v>
      </c>
      <c r="H83" s="17">
        <f>H84</f>
        <v>10336</v>
      </c>
      <c r="I83" s="219">
        <f t="shared" si="2"/>
        <v>98.438095238095229</v>
      </c>
    </row>
    <row r="84" spans="2:9" x14ac:dyDescent="0.2">
      <c r="B84" s="108">
        <f t="shared" si="3"/>
        <v>79</v>
      </c>
      <c r="C84" s="70"/>
      <c r="D84" s="65">
        <v>212</v>
      </c>
      <c r="E84" s="71"/>
      <c r="F84" s="3" t="s">
        <v>251</v>
      </c>
      <c r="G84" s="213">
        <f>G86+G85</f>
        <v>10500</v>
      </c>
      <c r="H84" s="18">
        <f>H86+H85</f>
        <v>10336</v>
      </c>
      <c r="I84" s="219">
        <f t="shared" si="2"/>
        <v>98.438095238095229</v>
      </c>
    </row>
    <row r="85" spans="2:9" x14ac:dyDescent="0.2">
      <c r="B85" s="108">
        <f t="shared" si="3"/>
        <v>80</v>
      </c>
      <c r="C85" s="12"/>
      <c r="D85" s="4"/>
      <c r="E85" s="13">
        <v>212002</v>
      </c>
      <c r="F85" s="4" t="s">
        <v>284</v>
      </c>
      <c r="G85" s="214">
        <v>7000</v>
      </c>
      <c r="H85" s="20">
        <v>7903</v>
      </c>
      <c r="I85" s="219">
        <f t="shared" si="2"/>
        <v>112.9</v>
      </c>
    </row>
    <row r="86" spans="2:9" x14ac:dyDescent="0.2">
      <c r="B86" s="108">
        <f t="shared" si="3"/>
        <v>81</v>
      </c>
      <c r="C86" s="12"/>
      <c r="D86" s="4"/>
      <c r="E86" s="13">
        <v>212003</v>
      </c>
      <c r="F86" s="4" t="s">
        <v>252</v>
      </c>
      <c r="G86" s="214">
        <v>3500</v>
      </c>
      <c r="H86" s="20">
        <v>2433</v>
      </c>
      <c r="I86" s="219">
        <f t="shared" si="2"/>
        <v>69.51428571428572</v>
      </c>
    </row>
    <row r="87" spans="2:9" x14ac:dyDescent="0.2">
      <c r="B87" s="108">
        <f t="shared" si="3"/>
        <v>82</v>
      </c>
      <c r="C87" s="68">
        <v>220</v>
      </c>
      <c r="D87" s="64"/>
      <c r="E87" s="69"/>
      <c r="F87" s="2" t="s">
        <v>225</v>
      </c>
      <c r="G87" s="238">
        <f>G88</f>
        <v>154000</v>
      </c>
      <c r="H87" s="17">
        <f>H88</f>
        <v>186009</v>
      </c>
      <c r="I87" s="219">
        <f t="shared" si="2"/>
        <v>120.78506493506494</v>
      </c>
    </row>
    <row r="88" spans="2:9" x14ac:dyDescent="0.2">
      <c r="B88" s="108">
        <f t="shared" si="3"/>
        <v>83</v>
      </c>
      <c r="C88" s="70"/>
      <c r="D88" s="65">
        <v>223</v>
      </c>
      <c r="E88" s="71"/>
      <c r="F88" s="3" t="s">
        <v>254</v>
      </c>
      <c r="G88" s="213">
        <f>G89</f>
        <v>154000</v>
      </c>
      <c r="H88" s="18">
        <f>H89</f>
        <v>186009</v>
      </c>
      <c r="I88" s="219">
        <f t="shared" si="2"/>
        <v>120.78506493506494</v>
      </c>
    </row>
    <row r="89" spans="2:9" x14ac:dyDescent="0.2">
      <c r="B89" s="108">
        <f t="shared" si="3"/>
        <v>84</v>
      </c>
      <c r="C89" s="12"/>
      <c r="D89" s="4"/>
      <c r="E89" s="13">
        <v>223001</v>
      </c>
      <c r="F89" s="4" t="s">
        <v>255</v>
      </c>
      <c r="G89" s="214">
        <v>154000</v>
      </c>
      <c r="H89" s="20">
        <v>186009</v>
      </c>
      <c r="I89" s="219">
        <f t="shared" si="2"/>
        <v>120.78506493506494</v>
      </c>
    </row>
    <row r="90" spans="2:9" x14ac:dyDescent="0.2">
      <c r="B90" s="108">
        <f t="shared" si="3"/>
        <v>85</v>
      </c>
      <c r="C90" s="66"/>
      <c r="D90" s="63"/>
      <c r="E90" s="67"/>
      <c r="F90" s="5" t="s">
        <v>215</v>
      </c>
      <c r="G90" s="237">
        <f>G91+G95</f>
        <v>72149</v>
      </c>
      <c r="H90" s="251">
        <f>H91+H95</f>
        <v>65399</v>
      </c>
      <c r="I90" s="219">
        <f t="shared" si="2"/>
        <v>90.644360975204094</v>
      </c>
    </row>
    <row r="91" spans="2:9" x14ac:dyDescent="0.2">
      <c r="B91" s="108">
        <f t="shared" si="3"/>
        <v>86</v>
      </c>
      <c r="C91" s="68">
        <v>210</v>
      </c>
      <c r="D91" s="64"/>
      <c r="E91" s="69"/>
      <c r="F91" s="2" t="s">
        <v>250</v>
      </c>
      <c r="G91" s="238">
        <f>G92</f>
        <v>50056</v>
      </c>
      <c r="H91" s="17">
        <f>H92</f>
        <v>46442</v>
      </c>
      <c r="I91" s="219">
        <f t="shared" si="2"/>
        <v>92.780086303340255</v>
      </c>
    </row>
    <row r="92" spans="2:9" x14ac:dyDescent="0.2">
      <c r="B92" s="108">
        <f t="shared" si="3"/>
        <v>87</v>
      </c>
      <c r="C92" s="70"/>
      <c r="D92" s="65">
        <v>212</v>
      </c>
      <c r="E92" s="71"/>
      <c r="F92" s="3" t="s">
        <v>251</v>
      </c>
      <c r="G92" s="213">
        <f>G93</f>
        <v>50056</v>
      </c>
      <c r="H92" s="18">
        <f>H93+H94</f>
        <v>46442</v>
      </c>
      <c r="I92" s="219">
        <f t="shared" si="2"/>
        <v>92.780086303340255</v>
      </c>
    </row>
    <row r="93" spans="2:9" x14ac:dyDescent="0.2">
      <c r="B93" s="108">
        <f t="shared" si="3"/>
        <v>88</v>
      </c>
      <c r="C93" s="12"/>
      <c r="D93" s="4"/>
      <c r="E93" s="13">
        <v>212003</v>
      </c>
      <c r="F93" s="4" t="s">
        <v>252</v>
      </c>
      <c r="G93" s="214">
        <f>101800-51744</f>
        <v>50056</v>
      </c>
      <c r="H93" s="20">
        <v>46082</v>
      </c>
      <c r="I93" s="219">
        <f t="shared" si="2"/>
        <v>92.060891801182677</v>
      </c>
    </row>
    <row r="94" spans="2:9" x14ac:dyDescent="0.2">
      <c r="B94" s="108">
        <f t="shared" si="3"/>
        <v>89</v>
      </c>
      <c r="C94" s="12"/>
      <c r="D94" s="4"/>
      <c r="E94" s="13">
        <v>212004</v>
      </c>
      <c r="F94" s="4" t="s">
        <v>253</v>
      </c>
      <c r="G94" s="214">
        <v>0</v>
      </c>
      <c r="H94" s="20">
        <v>360</v>
      </c>
      <c r="I94" s="219">
        <v>0</v>
      </c>
    </row>
    <row r="95" spans="2:9" x14ac:dyDescent="0.2">
      <c r="B95" s="108">
        <f t="shared" si="3"/>
        <v>90</v>
      </c>
      <c r="C95" s="68">
        <v>220</v>
      </c>
      <c r="D95" s="64"/>
      <c r="E95" s="69"/>
      <c r="F95" s="2" t="s">
        <v>225</v>
      </c>
      <c r="G95" s="238">
        <f>G96</f>
        <v>22093</v>
      </c>
      <c r="H95" s="17">
        <f>H96</f>
        <v>18957</v>
      </c>
      <c r="I95" s="219">
        <f t="shared" si="2"/>
        <v>85.805458742588144</v>
      </c>
    </row>
    <row r="96" spans="2:9" x14ac:dyDescent="0.2">
      <c r="B96" s="108">
        <f t="shared" si="3"/>
        <v>91</v>
      </c>
      <c r="C96" s="70"/>
      <c r="D96" s="65">
        <v>223</v>
      </c>
      <c r="E96" s="71"/>
      <c r="F96" s="3" t="s">
        <v>254</v>
      </c>
      <c r="G96" s="213">
        <f>G97</f>
        <v>22093</v>
      </c>
      <c r="H96" s="18">
        <f>H97</f>
        <v>18957</v>
      </c>
      <c r="I96" s="219">
        <f t="shared" si="2"/>
        <v>85.805458742588144</v>
      </c>
    </row>
    <row r="97" spans="2:9" x14ac:dyDescent="0.2">
      <c r="B97" s="108">
        <f t="shared" si="3"/>
        <v>92</v>
      </c>
      <c r="C97" s="12"/>
      <c r="D97" s="4"/>
      <c r="E97" s="13">
        <v>223001</v>
      </c>
      <c r="F97" s="4" t="s">
        <v>255</v>
      </c>
      <c r="G97" s="214">
        <f>376800-354707</f>
        <v>22093</v>
      </c>
      <c r="H97" s="20">
        <f>3157+15800</f>
        <v>18957</v>
      </c>
      <c r="I97" s="219">
        <f t="shared" si="2"/>
        <v>85.805458742588144</v>
      </c>
    </row>
    <row r="98" spans="2:9" x14ac:dyDescent="0.2">
      <c r="B98" s="108">
        <f t="shared" si="3"/>
        <v>93</v>
      </c>
      <c r="C98" s="66"/>
      <c r="D98" s="63"/>
      <c r="E98" s="67"/>
      <c r="F98" s="5" t="s">
        <v>232</v>
      </c>
      <c r="G98" s="237">
        <f>G102+G99</f>
        <v>90000</v>
      </c>
      <c r="H98" s="251">
        <f>H102+H99</f>
        <v>99470</v>
      </c>
      <c r="I98" s="219">
        <f t="shared" si="2"/>
        <v>110.52222222222224</v>
      </c>
    </row>
    <row r="99" spans="2:9" x14ac:dyDescent="0.2">
      <c r="B99" s="108">
        <f t="shared" si="3"/>
        <v>94</v>
      </c>
      <c r="C99" s="68">
        <v>210</v>
      </c>
      <c r="D99" s="64"/>
      <c r="E99" s="69"/>
      <c r="F99" s="2" t="s">
        <v>250</v>
      </c>
      <c r="G99" s="238">
        <f>G100</f>
        <v>2500</v>
      </c>
      <c r="H99" s="17">
        <f>H100</f>
        <v>2828</v>
      </c>
      <c r="I99" s="219">
        <f t="shared" si="2"/>
        <v>113.12</v>
      </c>
    </row>
    <row r="100" spans="2:9" x14ac:dyDescent="0.2">
      <c r="B100" s="108">
        <f t="shared" si="3"/>
        <v>95</v>
      </c>
      <c r="C100" s="70"/>
      <c r="D100" s="65">
        <v>212</v>
      </c>
      <c r="E100" s="71"/>
      <c r="F100" s="3" t="s">
        <v>251</v>
      </c>
      <c r="G100" s="213">
        <f>G101</f>
        <v>2500</v>
      </c>
      <c r="H100" s="18">
        <f>H101</f>
        <v>2828</v>
      </c>
      <c r="I100" s="219">
        <f t="shared" si="2"/>
        <v>113.12</v>
      </c>
    </row>
    <row r="101" spans="2:9" x14ac:dyDescent="0.2">
      <c r="B101" s="108">
        <f t="shared" si="3"/>
        <v>96</v>
      </c>
      <c r="C101" s="12"/>
      <c r="D101" s="4"/>
      <c r="E101" s="13">
        <v>212004</v>
      </c>
      <c r="F101" s="4" t="s">
        <v>253</v>
      </c>
      <c r="G101" s="214">
        <v>2500</v>
      </c>
      <c r="H101" s="20">
        <v>2828</v>
      </c>
      <c r="I101" s="219">
        <f t="shared" si="2"/>
        <v>113.12</v>
      </c>
    </row>
    <row r="102" spans="2:9" x14ac:dyDescent="0.2">
      <c r="B102" s="108">
        <f t="shared" si="3"/>
        <v>97</v>
      </c>
      <c r="C102" s="68">
        <v>220</v>
      </c>
      <c r="D102" s="64"/>
      <c r="E102" s="69"/>
      <c r="F102" s="2" t="s">
        <v>225</v>
      </c>
      <c r="G102" s="238">
        <f>G103</f>
        <v>87500</v>
      </c>
      <c r="H102" s="17">
        <f>H103</f>
        <v>96642</v>
      </c>
      <c r="I102" s="219">
        <f t="shared" si="2"/>
        <v>110.44799999999999</v>
      </c>
    </row>
    <row r="103" spans="2:9" x14ac:dyDescent="0.2">
      <c r="B103" s="108">
        <f t="shared" si="3"/>
        <v>98</v>
      </c>
      <c r="C103" s="70"/>
      <c r="D103" s="65">
        <v>223</v>
      </c>
      <c r="E103" s="71"/>
      <c r="F103" s="3" t="s">
        <v>254</v>
      </c>
      <c r="G103" s="213">
        <f>G104</f>
        <v>87500</v>
      </c>
      <c r="H103" s="18">
        <f>H104</f>
        <v>96642</v>
      </c>
      <c r="I103" s="219">
        <f t="shared" si="2"/>
        <v>110.44799999999999</v>
      </c>
    </row>
    <row r="104" spans="2:9" x14ac:dyDescent="0.2">
      <c r="B104" s="108">
        <f t="shared" si="3"/>
        <v>99</v>
      </c>
      <c r="C104" s="12"/>
      <c r="D104" s="4"/>
      <c r="E104" s="13">
        <v>223001</v>
      </c>
      <c r="F104" s="4" t="s">
        <v>255</v>
      </c>
      <c r="G104" s="214">
        <v>87500</v>
      </c>
      <c r="H104" s="20">
        <v>96642</v>
      </c>
      <c r="I104" s="219">
        <f t="shared" si="2"/>
        <v>110.44799999999999</v>
      </c>
    </row>
    <row r="105" spans="2:9" x14ac:dyDescent="0.2">
      <c r="B105" s="108">
        <f t="shared" si="3"/>
        <v>100</v>
      </c>
      <c r="C105" s="66"/>
      <c r="D105" s="63"/>
      <c r="E105" s="67"/>
      <c r="F105" s="5" t="s">
        <v>221</v>
      </c>
      <c r="G105" s="237">
        <f t="shared" ref="G105:H107" si="4">G106</f>
        <v>2000</v>
      </c>
      <c r="H105" s="251">
        <f t="shared" si="4"/>
        <v>4179</v>
      </c>
      <c r="I105" s="219">
        <f t="shared" si="2"/>
        <v>208.95000000000002</v>
      </c>
    </row>
    <row r="106" spans="2:9" x14ac:dyDescent="0.2">
      <c r="B106" s="108">
        <f t="shared" si="3"/>
        <v>101</v>
      </c>
      <c r="C106" s="68">
        <v>290</v>
      </c>
      <c r="D106" s="64"/>
      <c r="E106" s="69"/>
      <c r="F106" s="2" t="s">
        <v>181</v>
      </c>
      <c r="G106" s="238">
        <f t="shared" si="4"/>
        <v>2000</v>
      </c>
      <c r="H106" s="17">
        <f t="shared" si="4"/>
        <v>4179</v>
      </c>
      <c r="I106" s="219">
        <f t="shared" si="2"/>
        <v>208.95000000000002</v>
      </c>
    </row>
    <row r="107" spans="2:9" x14ac:dyDescent="0.2">
      <c r="B107" s="108">
        <f t="shared" si="3"/>
        <v>102</v>
      </c>
      <c r="C107" s="70"/>
      <c r="D107" s="65">
        <v>292</v>
      </c>
      <c r="E107" s="71"/>
      <c r="F107" s="3" t="s">
        <v>182</v>
      </c>
      <c r="G107" s="213">
        <f t="shared" si="4"/>
        <v>2000</v>
      </c>
      <c r="H107" s="18">
        <f t="shared" si="4"/>
        <v>4179</v>
      </c>
      <c r="I107" s="219">
        <f t="shared" si="2"/>
        <v>208.95000000000002</v>
      </c>
    </row>
    <row r="108" spans="2:9" x14ac:dyDescent="0.2">
      <c r="B108" s="108">
        <f t="shared" si="3"/>
        <v>103</v>
      </c>
      <c r="C108" s="12"/>
      <c r="D108" s="4"/>
      <c r="E108" s="13">
        <v>292006</v>
      </c>
      <c r="F108" s="4" t="s">
        <v>180</v>
      </c>
      <c r="G108" s="214">
        <v>2000</v>
      </c>
      <c r="H108" s="20">
        <v>4179</v>
      </c>
      <c r="I108" s="219">
        <f t="shared" si="2"/>
        <v>208.95000000000002</v>
      </c>
    </row>
    <row r="109" spans="2:9" x14ac:dyDescent="0.2">
      <c r="B109" s="108">
        <f t="shared" si="3"/>
        <v>104</v>
      </c>
      <c r="C109" s="66"/>
      <c r="D109" s="63"/>
      <c r="E109" s="67"/>
      <c r="F109" s="5" t="s">
        <v>50</v>
      </c>
      <c r="G109" s="237">
        <f>G113+G110</f>
        <v>12150</v>
      </c>
      <c r="H109" s="251">
        <f>H113+H110</f>
        <v>10565</v>
      </c>
      <c r="I109" s="219">
        <f t="shared" si="2"/>
        <v>86.954732510288068</v>
      </c>
    </row>
    <row r="110" spans="2:9" x14ac:dyDescent="0.2">
      <c r="B110" s="108">
        <f t="shared" si="3"/>
        <v>105</v>
      </c>
      <c r="C110" s="68">
        <v>210</v>
      </c>
      <c r="D110" s="64"/>
      <c r="E110" s="69"/>
      <c r="F110" s="2" t="s">
        <v>250</v>
      </c>
      <c r="G110" s="238">
        <f>G111</f>
        <v>50</v>
      </c>
      <c r="H110" s="17">
        <f>H111</f>
        <v>45</v>
      </c>
      <c r="I110" s="219">
        <f t="shared" si="2"/>
        <v>90</v>
      </c>
    </row>
    <row r="111" spans="2:9" x14ac:dyDescent="0.2">
      <c r="B111" s="108">
        <f t="shared" si="3"/>
        <v>106</v>
      </c>
      <c r="C111" s="70"/>
      <c r="D111" s="65">
        <v>212</v>
      </c>
      <c r="E111" s="71"/>
      <c r="F111" s="3" t="s">
        <v>251</v>
      </c>
      <c r="G111" s="213">
        <f>G112</f>
        <v>50</v>
      </c>
      <c r="H111" s="18">
        <f>H112</f>
        <v>45</v>
      </c>
      <c r="I111" s="219">
        <f t="shared" si="2"/>
        <v>90</v>
      </c>
    </row>
    <row r="112" spans="2:9" x14ac:dyDescent="0.2">
      <c r="B112" s="108">
        <f t="shared" si="3"/>
        <v>107</v>
      </c>
      <c r="C112" s="12"/>
      <c r="D112" s="4"/>
      <c r="E112" s="13">
        <v>212003</v>
      </c>
      <c r="F112" s="4" t="s">
        <v>252</v>
      </c>
      <c r="G112" s="214">
        <v>50</v>
      </c>
      <c r="H112" s="20">
        <v>45</v>
      </c>
      <c r="I112" s="219">
        <f t="shared" si="2"/>
        <v>90</v>
      </c>
    </row>
    <row r="113" spans="2:9" x14ac:dyDescent="0.2">
      <c r="B113" s="108">
        <f t="shared" si="3"/>
        <v>108</v>
      </c>
      <c r="C113" s="68">
        <v>220</v>
      </c>
      <c r="D113" s="64"/>
      <c r="E113" s="69"/>
      <c r="F113" s="2" t="s">
        <v>225</v>
      </c>
      <c r="G113" s="238">
        <f>G114</f>
        <v>12100</v>
      </c>
      <c r="H113" s="17">
        <f>H114</f>
        <v>10520</v>
      </c>
      <c r="I113" s="219">
        <f t="shared" si="2"/>
        <v>86.942148760330568</v>
      </c>
    </row>
    <row r="114" spans="2:9" x14ac:dyDescent="0.2">
      <c r="B114" s="108">
        <f t="shared" si="3"/>
        <v>109</v>
      </c>
      <c r="C114" s="70"/>
      <c r="D114" s="65">
        <v>223</v>
      </c>
      <c r="E114" s="71"/>
      <c r="F114" s="3" t="s">
        <v>254</v>
      </c>
      <c r="G114" s="213">
        <f>G115</f>
        <v>12100</v>
      </c>
      <c r="H114" s="18">
        <f>H115</f>
        <v>10520</v>
      </c>
      <c r="I114" s="219">
        <f t="shared" si="2"/>
        <v>86.942148760330568</v>
      </c>
    </row>
    <row r="115" spans="2:9" x14ac:dyDescent="0.2">
      <c r="B115" s="108">
        <f t="shared" si="3"/>
        <v>110</v>
      </c>
      <c r="C115" s="12"/>
      <c r="D115" s="4"/>
      <c r="E115" s="13">
        <v>223001</v>
      </c>
      <c r="F115" s="4" t="s">
        <v>255</v>
      </c>
      <c r="G115" s="214">
        <v>12100</v>
      </c>
      <c r="H115" s="20">
        <v>10520</v>
      </c>
      <c r="I115" s="219">
        <f t="shared" si="2"/>
        <v>86.942148760330568</v>
      </c>
    </row>
    <row r="116" spans="2:9" x14ac:dyDescent="0.2">
      <c r="B116" s="108">
        <f t="shared" si="3"/>
        <v>111</v>
      </c>
      <c r="C116" s="66"/>
      <c r="D116" s="63"/>
      <c r="E116" s="67"/>
      <c r="F116" s="5" t="s">
        <v>51</v>
      </c>
      <c r="G116" s="237">
        <f>G117+G120</f>
        <v>40200</v>
      </c>
      <c r="H116" s="251">
        <f>H117+H120</f>
        <v>72194</v>
      </c>
      <c r="I116" s="219">
        <f t="shared" si="2"/>
        <v>179.5870646766169</v>
      </c>
    </row>
    <row r="117" spans="2:9" x14ac:dyDescent="0.2">
      <c r="B117" s="108">
        <f t="shared" si="3"/>
        <v>112</v>
      </c>
      <c r="C117" s="68">
        <v>210</v>
      </c>
      <c r="D117" s="64"/>
      <c r="E117" s="69"/>
      <c r="F117" s="2" t="s">
        <v>250</v>
      </c>
      <c r="G117" s="238">
        <f>G118</f>
        <v>200</v>
      </c>
      <c r="H117" s="17">
        <f>H118</f>
        <v>191</v>
      </c>
      <c r="I117" s="219">
        <f t="shared" si="2"/>
        <v>95.5</v>
      </c>
    </row>
    <row r="118" spans="2:9" x14ac:dyDescent="0.2">
      <c r="B118" s="108">
        <f t="shared" si="3"/>
        <v>113</v>
      </c>
      <c r="C118" s="70"/>
      <c r="D118" s="65">
        <v>212</v>
      </c>
      <c r="E118" s="71"/>
      <c r="F118" s="3" t="s">
        <v>251</v>
      </c>
      <c r="G118" s="213">
        <f>G119</f>
        <v>200</v>
      </c>
      <c r="H118" s="18">
        <f>H119</f>
        <v>191</v>
      </c>
      <c r="I118" s="219">
        <f t="shared" si="2"/>
        <v>95.5</v>
      </c>
    </row>
    <row r="119" spans="2:9" x14ac:dyDescent="0.2">
      <c r="B119" s="108">
        <f t="shared" si="3"/>
        <v>114</v>
      </c>
      <c r="C119" s="12"/>
      <c r="D119" s="4"/>
      <c r="E119" s="13">
        <v>212002</v>
      </c>
      <c r="F119" s="4" t="s">
        <v>284</v>
      </c>
      <c r="G119" s="214">
        <v>200</v>
      </c>
      <c r="H119" s="20">
        <f>190+1</f>
        <v>191</v>
      </c>
      <c r="I119" s="219">
        <f t="shared" si="2"/>
        <v>95.5</v>
      </c>
    </row>
    <row r="120" spans="2:9" x14ac:dyDescent="0.2">
      <c r="B120" s="108">
        <f t="shared" si="3"/>
        <v>115</v>
      </c>
      <c r="C120" s="68">
        <v>220</v>
      </c>
      <c r="D120" s="64"/>
      <c r="E120" s="69"/>
      <c r="F120" s="2" t="s">
        <v>225</v>
      </c>
      <c r="G120" s="238">
        <f>G121</f>
        <v>40000</v>
      </c>
      <c r="H120" s="17">
        <f>H121</f>
        <v>72003</v>
      </c>
      <c r="I120" s="219">
        <f t="shared" si="2"/>
        <v>180.00750000000002</v>
      </c>
    </row>
    <row r="121" spans="2:9" x14ac:dyDescent="0.2">
      <c r="B121" s="108">
        <f t="shared" si="3"/>
        <v>116</v>
      </c>
      <c r="C121" s="70"/>
      <c r="D121" s="65">
        <v>223</v>
      </c>
      <c r="E121" s="71"/>
      <c r="F121" s="3" t="s">
        <v>254</v>
      </c>
      <c r="G121" s="213">
        <f>G122</f>
        <v>40000</v>
      </c>
      <c r="H121" s="18">
        <f>H122</f>
        <v>72003</v>
      </c>
      <c r="I121" s="219">
        <f t="shared" si="2"/>
        <v>180.00750000000002</v>
      </c>
    </row>
    <row r="122" spans="2:9" x14ac:dyDescent="0.2">
      <c r="B122" s="108">
        <f t="shared" si="3"/>
        <v>117</v>
      </c>
      <c r="C122" s="12"/>
      <c r="D122" s="4"/>
      <c r="E122" s="13">
        <v>223001</v>
      </c>
      <c r="F122" s="4" t="s">
        <v>255</v>
      </c>
      <c r="G122" s="214">
        <v>40000</v>
      </c>
      <c r="H122" s="20">
        <f>360+71643</f>
        <v>72003</v>
      </c>
      <c r="I122" s="219">
        <f t="shared" si="2"/>
        <v>180.00750000000002</v>
      </c>
    </row>
    <row r="123" spans="2:9" x14ac:dyDescent="0.2">
      <c r="B123" s="108">
        <f t="shared" si="3"/>
        <v>118</v>
      </c>
      <c r="C123" s="66"/>
      <c r="D123" s="63"/>
      <c r="E123" s="67"/>
      <c r="F123" s="5" t="s">
        <v>53</v>
      </c>
      <c r="G123" s="237">
        <f>G124+G127</f>
        <v>7700</v>
      </c>
      <c r="H123" s="251">
        <f>H124+H127</f>
        <v>7905</v>
      </c>
      <c r="I123" s="219">
        <f t="shared" si="2"/>
        <v>102.66233766233765</v>
      </c>
    </row>
    <row r="124" spans="2:9" x14ac:dyDescent="0.2">
      <c r="B124" s="108">
        <f t="shared" si="3"/>
        <v>119</v>
      </c>
      <c r="C124" s="68">
        <v>210</v>
      </c>
      <c r="D124" s="64"/>
      <c r="E124" s="69"/>
      <c r="F124" s="2" t="s">
        <v>250</v>
      </c>
      <c r="G124" s="238">
        <f>G125</f>
        <v>700</v>
      </c>
      <c r="H124" s="17">
        <f>H125</f>
        <v>700</v>
      </c>
      <c r="I124" s="219">
        <f t="shared" si="2"/>
        <v>100</v>
      </c>
    </row>
    <row r="125" spans="2:9" x14ac:dyDescent="0.2">
      <c r="B125" s="108">
        <f t="shared" si="3"/>
        <v>120</v>
      </c>
      <c r="C125" s="70"/>
      <c r="D125" s="65">
        <v>212</v>
      </c>
      <c r="E125" s="71"/>
      <c r="F125" s="3" t="s">
        <v>251</v>
      </c>
      <c r="G125" s="213">
        <f>G126</f>
        <v>700</v>
      </c>
      <c r="H125" s="18">
        <f>H126</f>
        <v>700</v>
      </c>
      <c r="I125" s="219">
        <f t="shared" si="2"/>
        <v>100</v>
      </c>
    </row>
    <row r="126" spans="2:9" x14ac:dyDescent="0.2">
      <c r="B126" s="108">
        <f t="shared" si="3"/>
        <v>121</v>
      </c>
      <c r="C126" s="12"/>
      <c r="D126" s="4"/>
      <c r="E126" s="13">
        <v>212002</v>
      </c>
      <c r="F126" s="4" t="s">
        <v>284</v>
      </c>
      <c r="G126" s="214">
        <v>700</v>
      </c>
      <c r="H126" s="20">
        <v>700</v>
      </c>
      <c r="I126" s="219">
        <f t="shared" si="2"/>
        <v>100</v>
      </c>
    </row>
    <row r="127" spans="2:9" x14ac:dyDescent="0.2">
      <c r="B127" s="108">
        <f t="shared" si="3"/>
        <v>122</v>
      </c>
      <c r="C127" s="68">
        <v>220</v>
      </c>
      <c r="D127" s="64"/>
      <c r="E127" s="69"/>
      <c r="F127" s="2" t="s">
        <v>225</v>
      </c>
      <c r="G127" s="238">
        <f>G128</f>
        <v>7000</v>
      </c>
      <c r="H127" s="17">
        <f>H128</f>
        <v>7205</v>
      </c>
      <c r="I127" s="219">
        <f t="shared" si="2"/>
        <v>102.92857142857143</v>
      </c>
    </row>
    <row r="128" spans="2:9" x14ac:dyDescent="0.2">
      <c r="B128" s="108">
        <f t="shared" si="3"/>
        <v>123</v>
      </c>
      <c r="C128" s="70"/>
      <c r="D128" s="65">
        <v>223</v>
      </c>
      <c r="E128" s="71"/>
      <c r="F128" s="3" t="s">
        <v>254</v>
      </c>
      <c r="G128" s="213">
        <f>G129</f>
        <v>7000</v>
      </c>
      <c r="H128" s="18">
        <f>H129</f>
        <v>7205</v>
      </c>
      <c r="I128" s="219">
        <f t="shared" si="2"/>
        <v>102.92857142857143</v>
      </c>
    </row>
    <row r="129" spans="2:9" ht="13.5" thickBot="1" x14ac:dyDescent="0.25">
      <c r="B129" s="108">
        <f t="shared" si="3"/>
        <v>124</v>
      </c>
      <c r="C129" s="12"/>
      <c r="D129" s="129"/>
      <c r="E129" s="13">
        <v>223001</v>
      </c>
      <c r="F129" s="4" t="s">
        <v>255</v>
      </c>
      <c r="G129" s="214">
        <v>7000</v>
      </c>
      <c r="H129" s="20">
        <v>7205</v>
      </c>
      <c r="I129" s="219">
        <f t="shared" si="2"/>
        <v>102.92857142857143</v>
      </c>
    </row>
    <row r="130" spans="2:9" ht="15.75" thickBot="1" x14ac:dyDescent="0.3">
      <c r="B130" s="108">
        <f t="shared" si="3"/>
        <v>125</v>
      </c>
      <c r="C130" s="72">
        <v>3</v>
      </c>
      <c r="D130" s="141"/>
      <c r="E130" s="73"/>
      <c r="F130" s="9" t="s">
        <v>14</v>
      </c>
      <c r="G130" s="236">
        <f t="shared" ref="G130:H132" si="5">G131</f>
        <v>18000</v>
      </c>
      <c r="H130" s="250">
        <f>H131+H134</f>
        <v>20739</v>
      </c>
      <c r="I130" s="219">
        <f t="shared" si="2"/>
        <v>115.21666666666665</v>
      </c>
    </row>
    <row r="131" spans="2:9" x14ac:dyDescent="0.2">
      <c r="B131" s="108">
        <f t="shared" si="3"/>
        <v>126</v>
      </c>
      <c r="C131" s="66">
        <v>220</v>
      </c>
      <c r="D131" s="140"/>
      <c r="E131" s="67"/>
      <c r="F131" s="5" t="s">
        <v>225</v>
      </c>
      <c r="G131" s="237">
        <f t="shared" si="5"/>
        <v>18000</v>
      </c>
      <c r="H131" s="251">
        <f t="shared" si="5"/>
        <v>18133</v>
      </c>
      <c r="I131" s="219">
        <f t="shared" si="2"/>
        <v>100.73888888888889</v>
      </c>
    </row>
    <row r="132" spans="2:9" x14ac:dyDescent="0.2">
      <c r="B132" s="108">
        <f t="shared" si="3"/>
        <v>127</v>
      </c>
      <c r="C132" s="68"/>
      <c r="D132" s="64">
        <v>223</v>
      </c>
      <c r="E132" s="69"/>
      <c r="F132" s="2" t="s">
        <v>254</v>
      </c>
      <c r="G132" s="238">
        <f t="shared" si="5"/>
        <v>18000</v>
      </c>
      <c r="H132" s="17">
        <f t="shared" si="5"/>
        <v>18133</v>
      </c>
      <c r="I132" s="219">
        <f t="shared" si="2"/>
        <v>100.73888888888889</v>
      </c>
    </row>
    <row r="133" spans="2:9" x14ac:dyDescent="0.2">
      <c r="B133" s="108">
        <f t="shared" si="3"/>
        <v>128</v>
      </c>
      <c r="C133" s="70"/>
      <c r="D133" s="65"/>
      <c r="E133" s="13">
        <v>223002</v>
      </c>
      <c r="F133" s="4" t="s">
        <v>76</v>
      </c>
      <c r="G133" s="214">
        <v>18000</v>
      </c>
      <c r="H133" s="20">
        <v>18133</v>
      </c>
      <c r="I133" s="219">
        <f t="shared" si="2"/>
        <v>100.73888888888889</v>
      </c>
    </row>
    <row r="134" spans="2:9" x14ac:dyDescent="0.2">
      <c r="B134" s="108">
        <f t="shared" si="3"/>
        <v>129</v>
      </c>
      <c r="C134" s="63">
        <v>290</v>
      </c>
      <c r="D134" s="63"/>
      <c r="E134" s="67"/>
      <c r="F134" s="5" t="s">
        <v>181</v>
      </c>
      <c r="G134" s="237">
        <f>G135</f>
        <v>0</v>
      </c>
      <c r="H134" s="251">
        <f>H135</f>
        <v>2606</v>
      </c>
      <c r="I134" s="219">
        <v>0</v>
      </c>
    </row>
    <row r="135" spans="2:9" x14ac:dyDescent="0.2">
      <c r="B135" s="108">
        <f t="shared" si="3"/>
        <v>130</v>
      </c>
      <c r="C135" s="68"/>
      <c r="D135" s="64">
        <v>292</v>
      </c>
      <c r="E135" s="69"/>
      <c r="F135" s="2" t="s">
        <v>182</v>
      </c>
      <c r="G135" s="238">
        <f>SUM(G136:G136)</f>
        <v>0</v>
      </c>
      <c r="H135" s="17">
        <f>SUM(H136:H136)</f>
        <v>2606</v>
      </c>
      <c r="I135" s="219">
        <v>0</v>
      </c>
    </row>
    <row r="136" spans="2:9" ht="13.5" thickBot="1" x14ac:dyDescent="0.25">
      <c r="B136" s="108">
        <f t="shared" si="3"/>
        <v>131</v>
      </c>
      <c r="C136" s="205"/>
      <c r="D136" s="207"/>
      <c r="E136" s="4">
        <v>292012</v>
      </c>
      <c r="F136" s="4" t="s">
        <v>236</v>
      </c>
      <c r="G136" s="397">
        <v>0</v>
      </c>
      <c r="H136" s="398">
        <v>2606</v>
      </c>
      <c r="I136" s="219">
        <v>0</v>
      </c>
    </row>
    <row r="137" spans="2:9" ht="15.75" thickBot="1" x14ac:dyDescent="0.3">
      <c r="B137" s="108">
        <f t="shared" si="3"/>
        <v>132</v>
      </c>
      <c r="C137" s="72">
        <v>4</v>
      </c>
      <c r="D137" s="141"/>
      <c r="E137" s="73"/>
      <c r="F137" s="9" t="s">
        <v>90</v>
      </c>
      <c r="G137" s="236">
        <f>G221+G216+G212+G208+G204+G199+G194+G189+G184+G178+G173+G168+G163+G158+G153+G148+G143+G138</f>
        <v>404827</v>
      </c>
      <c r="H137" s="250">
        <f>H221+H216+H212+H208+H204+H199+H194+H189+H184+H178+H173+H168+H163+H158+H153+H148+H143+H138</f>
        <v>412473</v>
      </c>
      <c r="I137" s="219">
        <f t="shared" si="2"/>
        <v>101.88870801601672</v>
      </c>
    </row>
    <row r="138" spans="2:9" x14ac:dyDescent="0.2">
      <c r="B138" s="108">
        <f t="shared" si="3"/>
        <v>133</v>
      </c>
      <c r="C138" s="66"/>
      <c r="D138" s="140"/>
      <c r="E138" s="67"/>
      <c r="F138" s="5" t="s">
        <v>72</v>
      </c>
      <c r="G138" s="237">
        <f>G139</f>
        <v>21130</v>
      </c>
      <c r="H138" s="251">
        <f>H139</f>
        <v>20924</v>
      </c>
      <c r="I138" s="219">
        <f t="shared" si="2"/>
        <v>99.025082820634168</v>
      </c>
    </row>
    <row r="139" spans="2:9" x14ac:dyDescent="0.2">
      <c r="B139" s="108">
        <f t="shared" si="3"/>
        <v>134</v>
      </c>
      <c r="C139" s="68">
        <v>220</v>
      </c>
      <c r="D139" s="64"/>
      <c r="E139" s="69"/>
      <c r="F139" s="2" t="s">
        <v>225</v>
      </c>
      <c r="G139" s="238">
        <f>G140</f>
        <v>21130</v>
      </c>
      <c r="H139" s="17">
        <f>H140</f>
        <v>20924</v>
      </c>
      <c r="I139" s="219">
        <f t="shared" si="2"/>
        <v>99.025082820634168</v>
      </c>
    </row>
    <row r="140" spans="2:9" x14ac:dyDescent="0.2">
      <c r="B140" s="108">
        <f t="shared" si="3"/>
        <v>135</v>
      </c>
      <c r="C140" s="70"/>
      <c r="D140" s="65">
        <v>223</v>
      </c>
      <c r="E140" s="71"/>
      <c r="F140" s="3" t="s">
        <v>254</v>
      </c>
      <c r="G140" s="213">
        <f>G142+G141</f>
        <v>21130</v>
      </c>
      <c r="H140" s="18">
        <f>H142+H141</f>
        <v>20924</v>
      </c>
      <c r="I140" s="219">
        <f t="shared" si="2"/>
        <v>99.025082820634168</v>
      </c>
    </row>
    <row r="141" spans="2:9" x14ac:dyDescent="0.2">
      <c r="B141" s="108">
        <f t="shared" si="3"/>
        <v>136</v>
      </c>
      <c r="C141" s="12"/>
      <c r="D141" s="4"/>
      <c r="E141" s="13">
        <v>223002</v>
      </c>
      <c r="F141" s="4" t="s">
        <v>76</v>
      </c>
      <c r="G141" s="214">
        <v>7470</v>
      </c>
      <c r="H141" s="20">
        <v>6813</v>
      </c>
      <c r="I141" s="219">
        <f t="shared" si="2"/>
        <v>91.204819277108427</v>
      </c>
    </row>
    <row r="142" spans="2:9" x14ac:dyDescent="0.2">
      <c r="B142" s="108">
        <f t="shared" si="3"/>
        <v>137</v>
      </c>
      <c r="C142" s="12"/>
      <c r="D142" s="4"/>
      <c r="E142" s="13">
        <v>223003</v>
      </c>
      <c r="F142" s="44" t="s">
        <v>77</v>
      </c>
      <c r="G142" s="214">
        <v>13660</v>
      </c>
      <c r="H142" s="20">
        <v>14111</v>
      </c>
      <c r="I142" s="219">
        <f t="shared" si="2"/>
        <v>103.30161054172765</v>
      </c>
    </row>
    <row r="143" spans="2:9" x14ac:dyDescent="0.2">
      <c r="B143" s="108">
        <f t="shared" si="3"/>
        <v>138</v>
      </c>
      <c r="C143" s="66"/>
      <c r="D143" s="63"/>
      <c r="E143" s="67"/>
      <c r="F143" s="5" t="s">
        <v>240</v>
      </c>
      <c r="G143" s="237">
        <f>G144</f>
        <v>33900</v>
      </c>
      <c r="H143" s="251">
        <f>H144</f>
        <v>33985</v>
      </c>
      <c r="I143" s="219">
        <f t="shared" si="2"/>
        <v>100.25073746312685</v>
      </c>
    </row>
    <row r="144" spans="2:9" x14ac:dyDescent="0.2">
      <c r="B144" s="108">
        <f t="shared" si="3"/>
        <v>139</v>
      </c>
      <c r="C144" s="68">
        <v>220</v>
      </c>
      <c r="D144" s="64"/>
      <c r="E144" s="69"/>
      <c r="F144" s="2" t="s">
        <v>225</v>
      </c>
      <c r="G144" s="238">
        <f>G145</f>
        <v>33900</v>
      </c>
      <c r="H144" s="17">
        <f>H145</f>
        <v>33985</v>
      </c>
      <c r="I144" s="219">
        <f t="shared" si="2"/>
        <v>100.25073746312685</v>
      </c>
    </row>
    <row r="145" spans="2:9" x14ac:dyDescent="0.2">
      <c r="B145" s="108">
        <f t="shared" si="3"/>
        <v>140</v>
      </c>
      <c r="C145" s="70"/>
      <c r="D145" s="65">
        <v>223</v>
      </c>
      <c r="E145" s="71"/>
      <c r="F145" s="3" t="s">
        <v>254</v>
      </c>
      <c r="G145" s="213">
        <f>G147+G146</f>
        <v>33900</v>
      </c>
      <c r="H145" s="18">
        <f>H147+H146</f>
        <v>33985</v>
      </c>
      <c r="I145" s="219">
        <f t="shared" ref="I145:I208" si="6">H145/G145*100</f>
        <v>100.25073746312685</v>
      </c>
    </row>
    <row r="146" spans="2:9" x14ac:dyDescent="0.2">
      <c r="B146" s="108">
        <f t="shared" si="3"/>
        <v>141</v>
      </c>
      <c r="C146" s="12"/>
      <c r="D146" s="4"/>
      <c r="E146" s="13">
        <v>223002</v>
      </c>
      <c r="F146" s="4" t="s">
        <v>76</v>
      </c>
      <c r="G146" s="214">
        <v>10900</v>
      </c>
      <c r="H146" s="20">
        <v>11300</v>
      </c>
      <c r="I146" s="219">
        <f t="shared" si="6"/>
        <v>103.6697247706422</v>
      </c>
    </row>
    <row r="147" spans="2:9" x14ac:dyDescent="0.2">
      <c r="B147" s="108">
        <f t="shared" si="3"/>
        <v>142</v>
      </c>
      <c r="C147" s="12"/>
      <c r="D147" s="4"/>
      <c r="E147" s="13">
        <v>223003</v>
      </c>
      <c r="F147" s="44" t="s">
        <v>77</v>
      </c>
      <c r="G147" s="214">
        <v>23000</v>
      </c>
      <c r="H147" s="20">
        <v>22685</v>
      </c>
      <c r="I147" s="219">
        <f t="shared" si="6"/>
        <v>98.630434782608702</v>
      </c>
    </row>
    <row r="148" spans="2:9" x14ac:dyDescent="0.2">
      <c r="B148" s="108">
        <f t="shared" ref="B148:B151" si="7">B147+1</f>
        <v>143</v>
      </c>
      <c r="C148" s="66"/>
      <c r="D148" s="63"/>
      <c r="E148" s="67"/>
      <c r="F148" s="5" t="s">
        <v>71</v>
      </c>
      <c r="G148" s="237">
        <f>G149</f>
        <v>20100</v>
      </c>
      <c r="H148" s="251">
        <f>H149</f>
        <v>21516</v>
      </c>
      <c r="I148" s="219">
        <f t="shared" si="6"/>
        <v>107.044776119403</v>
      </c>
    </row>
    <row r="149" spans="2:9" x14ac:dyDescent="0.2">
      <c r="B149" s="108">
        <f t="shared" si="7"/>
        <v>144</v>
      </c>
      <c r="C149" s="68">
        <v>220</v>
      </c>
      <c r="D149" s="64"/>
      <c r="E149" s="69"/>
      <c r="F149" s="2" t="s">
        <v>225</v>
      </c>
      <c r="G149" s="238">
        <f>G150</f>
        <v>20100</v>
      </c>
      <c r="H149" s="17">
        <f>H150</f>
        <v>21516</v>
      </c>
      <c r="I149" s="219">
        <f t="shared" si="6"/>
        <v>107.044776119403</v>
      </c>
    </row>
    <row r="150" spans="2:9" x14ac:dyDescent="0.2">
      <c r="B150" s="108">
        <f t="shared" si="7"/>
        <v>145</v>
      </c>
      <c r="C150" s="70"/>
      <c r="D150" s="65">
        <v>223</v>
      </c>
      <c r="E150" s="71"/>
      <c r="F150" s="3" t="s">
        <v>254</v>
      </c>
      <c r="G150" s="213">
        <f>G152+G151</f>
        <v>20100</v>
      </c>
      <c r="H150" s="18">
        <f>H152+H151</f>
        <v>21516</v>
      </c>
      <c r="I150" s="219">
        <f t="shared" si="6"/>
        <v>107.044776119403</v>
      </c>
    </row>
    <row r="151" spans="2:9" x14ac:dyDescent="0.2">
      <c r="B151" s="108">
        <f t="shared" si="7"/>
        <v>146</v>
      </c>
      <c r="C151" s="12"/>
      <c r="D151" s="4"/>
      <c r="E151" s="13">
        <v>223002</v>
      </c>
      <c r="F151" s="4" t="s">
        <v>76</v>
      </c>
      <c r="G151" s="214">
        <v>6740</v>
      </c>
      <c r="H151" s="20">
        <v>6991</v>
      </c>
      <c r="I151" s="219">
        <f t="shared" si="6"/>
        <v>103.72403560830861</v>
      </c>
    </row>
    <row r="152" spans="2:9" x14ac:dyDescent="0.2">
      <c r="B152" s="108">
        <f t="shared" ref="B152:B179" si="8">B151+1</f>
        <v>147</v>
      </c>
      <c r="C152" s="12"/>
      <c r="D152" s="4"/>
      <c r="E152" s="13">
        <v>223003</v>
      </c>
      <c r="F152" s="44" t="s">
        <v>77</v>
      </c>
      <c r="G152" s="214">
        <v>13360</v>
      </c>
      <c r="H152" s="20">
        <v>14525</v>
      </c>
      <c r="I152" s="219">
        <f t="shared" si="6"/>
        <v>108.72005988023952</v>
      </c>
    </row>
    <row r="153" spans="2:9" x14ac:dyDescent="0.2">
      <c r="B153" s="108">
        <f t="shared" si="8"/>
        <v>148</v>
      </c>
      <c r="C153" s="66"/>
      <c r="D153" s="63"/>
      <c r="E153" s="67"/>
      <c r="F153" s="5" t="s">
        <v>105</v>
      </c>
      <c r="G153" s="237">
        <f>G154</f>
        <v>23660</v>
      </c>
      <c r="H153" s="251">
        <f>H154</f>
        <v>24165</v>
      </c>
      <c r="I153" s="219">
        <f t="shared" si="6"/>
        <v>102.13440405748098</v>
      </c>
    </row>
    <row r="154" spans="2:9" x14ac:dyDescent="0.2">
      <c r="B154" s="108">
        <f t="shared" si="8"/>
        <v>149</v>
      </c>
      <c r="C154" s="68">
        <v>220</v>
      </c>
      <c r="D154" s="64"/>
      <c r="E154" s="69"/>
      <c r="F154" s="2" t="s">
        <v>225</v>
      </c>
      <c r="G154" s="238">
        <f>G155</f>
        <v>23660</v>
      </c>
      <c r="H154" s="17">
        <f>H155</f>
        <v>24165</v>
      </c>
      <c r="I154" s="219">
        <f t="shared" si="6"/>
        <v>102.13440405748098</v>
      </c>
    </row>
    <row r="155" spans="2:9" x14ac:dyDescent="0.2">
      <c r="B155" s="108">
        <f t="shared" si="8"/>
        <v>150</v>
      </c>
      <c r="C155" s="70"/>
      <c r="D155" s="65">
        <v>223</v>
      </c>
      <c r="E155" s="71"/>
      <c r="F155" s="3" t="s">
        <v>254</v>
      </c>
      <c r="G155" s="213">
        <f>G157+G156</f>
        <v>23660</v>
      </c>
      <c r="H155" s="18">
        <f>H157+H156</f>
        <v>24165</v>
      </c>
      <c r="I155" s="219">
        <f t="shared" si="6"/>
        <v>102.13440405748098</v>
      </c>
    </row>
    <row r="156" spans="2:9" x14ac:dyDescent="0.2">
      <c r="B156" s="108">
        <f t="shared" si="8"/>
        <v>151</v>
      </c>
      <c r="C156" s="12"/>
      <c r="D156" s="4"/>
      <c r="E156" s="13">
        <v>223002</v>
      </c>
      <c r="F156" s="4" t="s">
        <v>76</v>
      </c>
      <c r="G156" s="214">
        <v>7745</v>
      </c>
      <c r="H156" s="20">
        <v>7836</v>
      </c>
      <c r="I156" s="219">
        <f t="shared" si="6"/>
        <v>101.17495158166558</v>
      </c>
    </row>
    <row r="157" spans="2:9" x14ac:dyDescent="0.2">
      <c r="B157" s="108">
        <f t="shared" si="8"/>
        <v>152</v>
      </c>
      <c r="C157" s="12"/>
      <c r="D157" s="4"/>
      <c r="E157" s="13">
        <v>223003</v>
      </c>
      <c r="F157" s="44" t="s">
        <v>77</v>
      </c>
      <c r="G157" s="214">
        <v>15915</v>
      </c>
      <c r="H157" s="20">
        <v>16329</v>
      </c>
      <c r="I157" s="219">
        <f t="shared" si="6"/>
        <v>102.60131950989633</v>
      </c>
    </row>
    <row r="158" spans="2:9" x14ac:dyDescent="0.2">
      <c r="B158" s="108">
        <f t="shared" si="8"/>
        <v>153</v>
      </c>
      <c r="C158" s="66"/>
      <c r="D158" s="63"/>
      <c r="E158" s="67"/>
      <c r="F158" s="5" t="s">
        <v>108</v>
      </c>
      <c r="G158" s="237">
        <f>G159</f>
        <v>24160</v>
      </c>
      <c r="H158" s="251">
        <f>H159</f>
        <v>22715</v>
      </c>
      <c r="I158" s="219">
        <f t="shared" si="6"/>
        <v>94.019039735099341</v>
      </c>
    </row>
    <row r="159" spans="2:9" x14ac:dyDescent="0.2">
      <c r="B159" s="108">
        <f t="shared" si="8"/>
        <v>154</v>
      </c>
      <c r="C159" s="68">
        <v>220</v>
      </c>
      <c r="D159" s="64"/>
      <c r="E159" s="69"/>
      <c r="F159" s="2" t="s">
        <v>225</v>
      </c>
      <c r="G159" s="238">
        <f>G160</f>
        <v>24160</v>
      </c>
      <c r="H159" s="17">
        <f>H160</f>
        <v>22715</v>
      </c>
      <c r="I159" s="219">
        <f t="shared" si="6"/>
        <v>94.019039735099341</v>
      </c>
    </row>
    <row r="160" spans="2:9" x14ac:dyDescent="0.2">
      <c r="B160" s="108">
        <f t="shared" si="8"/>
        <v>155</v>
      </c>
      <c r="C160" s="70"/>
      <c r="D160" s="65">
        <v>223</v>
      </c>
      <c r="E160" s="71"/>
      <c r="F160" s="3" t="s">
        <v>254</v>
      </c>
      <c r="G160" s="213">
        <f>G162+G161</f>
        <v>24160</v>
      </c>
      <c r="H160" s="18">
        <f>H162+H161</f>
        <v>22715</v>
      </c>
      <c r="I160" s="219">
        <f t="shared" si="6"/>
        <v>94.019039735099341</v>
      </c>
    </row>
    <row r="161" spans="2:9" x14ac:dyDescent="0.2">
      <c r="B161" s="108">
        <f t="shared" si="8"/>
        <v>156</v>
      </c>
      <c r="C161" s="12"/>
      <c r="D161" s="4"/>
      <c r="E161" s="13">
        <v>223002</v>
      </c>
      <c r="F161" s="4" t="s">
        <v>76</v>
      </c>
      <c r="G161" s="214">
        <v>7030</v>
      </c>
      <c r="H161" s="20">
        <v>6479</v>
      </c>
      <c r="I161" s="219">
        <f t="shared" si="6"/>
        <v>92.162162162162161</v>
      </c>
    </row>
    <row r="162" spans="2:9" x14ac:dyDescent="0.2">
      <c r="B162" s="108">
        <f t="shared" si="8"/>
        <v>157</v>
      </c>
      <c r="C162" s="12"/>
      <c r="D162" s="4"/>
      <c r="E162" s="13">
        <v>223003</v>
      </c>
      <c r="F162" s="44" t="s">
        <v>77</v>
      </c>
      <c r="G162" s="214">
        <v>17130</v>
      </c>
      <c r="H162" s="20">
        <v>16236</v>
      </c>
      <c r="I162" s="219">
        <f t="shared" si="6"/>
        <v>94.781085814360765</v>
      </c>
    </row>
    <row r="163" spans="2:9" x14ac:dyDescent="0.2">
      <c r="B163" s="108">
        <f t="shared" si="8"/>
        <v>158</v>
      </c>
      <c r="C163" s="66"/>
      <c r="D163" s="63"/>
      <c r="E163" s="67"/>
      <c r="F163" s="5" t="s">
        <v>92</v>
      </c>
      <c r="G163" s="237">
        <f>G164</f>
        <v>38850</v>
      </c>
      <c r="H163" s="251">
        <f>H164</f>
        <v>38913</v>
      </c>
      <c r="I163" s="219">
        <f t="shared" si="6"/>
        <v>100.16216216216216</v>
      </c>
    </row>
    <row r="164" spans="2:9" x14ac:dyDescent="0.2">
      <c r="B164" s="108">
        <f t="shared" si="8"/>
        <v>159</v>
      </c>
      <c r="C164" s="68">
        <v>220</v>
      </c>
      <c r="D164" s="64"/>
      <c r="E164" s="69"/>
      <c r="F164" s="2" t="s">
        <v>225</v>
      </c>
      <c r="G164" s="238">
        <f>G165</f>
        <v>38850</v>
      </c>
      <c r="H164" s="17">
        <f>H165</f>
        <v>38913</v>
      </c>
      <c r="I164" s="219">
        <f t="shared" si="6"/>
        <v>100.16216216216216</v>
      </c>
    </row>
    <row r="165" spans="2:9" x14ac:dyDescent="0.2">
      <c r="B165" s="108">
        <f t="shared" si="8"/>
        <v>160</v>
      </c>
      <c r="C165" s="70"/>
      <c r="D165" s="65">
        <v>223</v>
      </c>
      <c r="E165" s="71"/>
      <c r="F165" s="3" t="s">
        <v>254</v>
      </c>
      <c r="G165" s="213">
        <f>G167+G166</f>
        <v>38850</v>
      </c>
      <c r="H165" s="18">
        <f>H167+H166</f>
        <v>38913</v>
      </c>
      <c r="I165" s="219">
        <f t="shared" si="6"/>
        <v>100.16216216216216</v>
      </c>
    </row>
    <row r="166" spans="2:9" x14ac:dyDescent="0.2">
      <c r="B166" s="108">
        <f t="shared" si="8"/>
        <v>161</v>
      </c>
      <c r="C166" s="12"/>
      <c r="D166" s="4"/>
      <c r="E166" s="13">
        <v>223002</v>
      </c>
      <c r="F166" s="4" t="s">
        <v>76</v>
      </c>
      <c r="G166" s="214">
        <v>10900</v>
      </c>
      <c r="H166" s="20">
        <v>11889</v>
      </c>
      <c r="I166" s="219">
        <f t="shared" si="6"/>
        <v>109.07339449541284</v>
      </c>
    </row>
    <row r="167" spans="2:9" x14ac:dyDescent="0.2">
      <c r="B167" s="108">
        <f t="shared" si="8"/>
        <v>162</v>
      </c>
      <c r="C167" s="12"/>
      <c r="D167" s="4"/>
      <c r="E167" s="13">
        <v>223003</v>
      </c>
      <c r="F167" s="44" t="s">
        <v>77</v>
      </c>
      <c r="G167" s="214">
        <v>27950</v>
      </c>
      <c r="H167" s="20">
        <v>27024</v>
      </c>
      <c r="I167" s="219">
        <f t="shared" si="6"/>
        <v>96.686940966010738</v>
      </c>
    </row>
    <row r="168" spans="2:9" x14ac:dyDescent="0.2">
      <c r="B168" s="108">
        <f t="shared" si="8"/>
        <v>163</v>
      </c>
      <c r="C168" s="66"/>
      <c r="D168" s="63"/>
      <c r="E168" s="67"/>
      <c r="F168" s="5" t="s">
        <v>89</v>
      </c>
      <c r="G168" s="237">
        <f>G169</f>
        <v>40175</v>
      </c>
      <c r="H168" s="251">
        <f>H169</f>
        <v>48188</v>
      </c>
      <c r="I168" s="219">
        <f t="shared" si="6"/>
        <v>119.94523957685128</v>
      </c>
    </row>
    <row r="169" spans="2:9" x14ac:dyDescent="0.2">
      <c r="B169" s="108">
        <f t="shared" si="8"/>
        <v>164</v>
      </c>
      <c r="C169" s="68">
        <v>220</v>
      </c>
      <c r="D169" s="64"/>
      <c r="E169" s="69"/>
      <c r="F169" s="2" t="s">
        <v>225</v>
      </c>
      <c r="G169" s="238">
        <f>G170</f>
        <v>40175</v>
      </c>
      <c r="H169" s="17">
        <f>H170</f>
        <v>48188</v>
      </c>
      <c r="I169" s="219">
        <f t="shared" si="6"/>
        <v>119.94523957685128</v>
      </c>
    </row>
    <row r="170" spans="2:9" x14ac:dyDescent="0.2">
      <c r="B170" s="108">
        <f t="shared" si="8"/>
        <v>165</v>
      </c>
      <c r="C170" s="70"/>
      <c r="D170" s="65">
        <v>223</v>
      </c>
      <c r="E170" s="71"/>
      <c r="F170" s="3" t="s">
        <v>254</v>
      </c>
      <c r="G170" s="213">
        <f>G172+G171</f>
        <v>40175</v>
      </c>
      <c r="H170" s="18">
        <f>H172+H171</f>
        <v>48188</v>
      </c>
      <c r="I170" s="219">
        <f t="shared" si="6"/>
        <v>119.94523957685128</v>
      </c>
    </row>
    <row r="171" spans="2:9" x14ac:dyDescent="0.2">
      <c r="B171" s="108">
        <f t="shared" si="8"/>
        <v>166</v>
      </c>
      <c r="C171" s="12"/>
      <c r="D171" s="4"/>
      <c r="E171" s="13">
        <v>223002</v>
      </c>
      <c r="F171" s="4" t="s">
        <v>76</v>
      </c>
      <c r="G171" s="214">
        <v>13340</v>
      </c>
      <c r="H171" s="20">
        <v>14704</v>
      </c>
      <c r="I171" s="219">
        <f t="shared" si="6"/>
        <v>110.22488755622189</v>
      </c>
    </row>
    <row r="172" spans="2:9" x14ac:dyDescent="0.2">
      <c r="B172" s="108">
        <f t="shared" si="8"/>
        <v>167</v>
      </c>
      <c r="C172" s="12"/>
      <c r="D172" s="4"/>
      <c r="E172" s="13">
        <v>223003</v>
      </c>
      <c r="F172" s="44" t="s">
        <v>77</v>
      </c>
      <c r="G172" s="214">
        <v>26835</v>
      </c>
      <c r="H172" s="20">
        <v>33484</v>
      </c>
      <c r="I172" s="219">
        <f t="shared" si="6"/>
        <v>124.77734302217254</v>
      </c>
    </row>
    <row r="173" spans="2:9" x14ac:dyDescent="0.2">
      <c r="B173" s="108">
        <f t="shared" si="8"/>
        <v>168</v>
      </c>
      <c r="C173" s="66"/>
      <c r="D173" s="63"/>
      <c r="E173" s="67"/>
      <c r="F173" s="5" t="s">
        <v>112</v>
      </c>
      <c r="G173" s="237">
        <f>G174</f>
        <v>22235</v>
      </c>
      <c r="H173" s="251">
        <f>H174</f>
        <v>20438</v>
      </c>
      <c r="I173" s="219">
        <f t="shared" si="6"/>
        <v>91.918147065437367</v>
      </c>
    </row>
    <row r="174" spans="2:9" x14ac:dyDescent="0.2">
      <c r="B174" s="108">
        <f t="shared" si="8"/>
        <v>169</v>
      </c>
      <c r="C174" s="68">
        <v>220</v>
      </c>
      <c r="D174" s="64"/>
      <c r="E174" s="69"/>
      <c r="F174" s="2" t="s">
        <v>225</v>
      </c>
      <c r="G174" s="238">
        <f>G175</f>
        <v>22235</v>
      </c>
      <c r="H174" s="17">
        <f>H175</f>
        <v>20438</v>
      </c>
      <c r="I174" s="219">
        <f t="shared" si="6"/>
        <v>91.918147065437367</v>
      </c>
    </row>
    <row r="175" spans="2:9" x14ac:dyDescent="0.2">
      <c r="B175" s="108">
        <f t="shared" si="8"/>
        <v>170</v>
      </c>
      <c r="C175" s="70"/>
      <c r="D175" s="65">
        <v>223</v>
      </c>
      <c r="E175" s="71"/>
      <c r="F175" s="3" t="s">
        <v>254</v>
      </c>
      <c r="G175" s="213">
        <f>G177+G176</f>
        <v>22235</v>
      </c>
      <c r="H175" s="18">
        <f>H177+H176</f>
        <v>20438</v>
      </c>
      <c r="I175" s="219">
        <f t="shared" si="6"/>
        <v>91.918147065437367</v>
      </c>
    </row>
    <row r="176" spans="2:9" x14ac:dyDescent="0.2">
      <c r="B176" s="108">
        <f t="shared" si="8"/>
        <v>171</v>
      </c>
      <c r="C176" s="12"/>
      <c r="D176" s="4"/>
      <c r="E176" s="13">
        <v>223002</v>
      </c>
      <c r="F176" s="4" t="s">
        <v>76</v>
      </c>
      <c r="G176" s="214">
        <v>7030</v>
      </c>
      <c r="H176" s="20">
        <v>6603</v>
      </c>
      <c r="I176" s="219">
        <f t="shared" si="6"/>
        <v>93.926031294452343</v>
      </c>
    </row>
    <row r="177" spans="2:9" x14ac:dyDescent="0.2">
      <c r="B177" s="108">
        <f t="shared" si="8"/>
        <v>172</v>
      </c>
      <c r="C177" s="12"/>
      <c r="D177" s="4"/>
      <c r="E177" s="13">
        <v>223003</v>
      </c>
      <c r="F177" s="44" t="s">
        <v>77</v>
      </c>
      <c r="G177" s="214">
        <v>15205</v>
      </c>
      <c r="H177" s="20">
        <v>13835</v>
      </c>
      <c r="I177" s="219">
        <f t="shared" si="6"/>
        <v>90.989805984873399</v>
      </c>
    </row>
    <row r="178" spans="2:9" x14ac:dyDescent="0.2">
      <c r="B178" s="108">
        <f t="shared" si="8"/>
        <v>173</v>
      </c>
      <c r="C178" s="66"/>
      <c r="D178" s="63"/>
      <c r="E178" s="67"/>
      <c r="F178" s="5" t="s">
        <v>67</v>
      </c>
      <c r="G178" s="237">
        <f>G179</f>
        <v>30160</v>
      </c>
      <c r="H178" s="251">
        <f>H179</f>
        <v>31512</v>
      </c>
      <c r="I178" s="219">
        <f t="shared" si="6"/>
        <v>104.48275862068965</v>
      </c>
    </row>
    <row r="179" spans="2:9" x14ac:dyDescent="0.2">
      <c r="B179" s="108">
        <f t="shared" si="8"/>
        <v>174</v>
      </c>
      <c r="C179" s="68">
        <v>220</v>
      </c>
      <c r="D179" s="64"/>
      <c r="E179" s="69"/>
      <c r="F179" s="2" t="s">
        <v>225</v>
      </c>
      <c r="G179" s="238">
        <f>G180</f>
        <v>30160</v>
      </c>
      <c r="H179" s="17">
        <f>H180</f>
        <v>31512</v>
      </c>
      <c r="I179" s="219">
        <f t="shared" si="6"/>
        <v>104.48275862068965</v>
      </c>
    </row>
    <row r="180" spans="2:9" x14ac:dyDescent="0.2">
      <c r="B180" s="108">
        <f t="shared" ref="B180:B255" si="9">B179+1</f>
        <v>175</v>
      </c>
      <c r="C180" s="70"/>
      <c r="D180" s="65">
        <v>223</v>
      </c>
      <c r="E180" s="71"/>
      <c r="F180" s="3" t="s">
        <v>254</v>
      </c>
      <c r="G180" s="213">
        <f>G183+G182+G181</f>
        <v>30160</v>
      </c>
      <c r="H180" s="18">
        <f>H183+H182+H181</f>
        <v>31512</v>
      </c>
      <c r="I180" s="219">
        <f t="shared" si="6"/>
        <v>104.48275862068965</v>
      </c>
    </row>
    <row r="181" spans="2:9" x14ac:dyDescent="0.2">
      <c r="B181" s="108">
        <f t="shared" si="9"/>
        <v>176</v>
      </c>
      <c r="C181" s="12"/>
      <c r="D181" s="4"/>
      <c r="E181" s="13">
        <v>223001</v>
      </c>
      <c r="F181" s="4" t="s">
        <v>255</v>
      </c>
      <c r="G181" s="214">
        <f>350+385</f>
        <v>735</v>
      </c>
      <c r="H181" s="20">
        <v>800</v>
      </c>
      <c r="I181" s="219">
        <f t="shared" si="6"/>
        <v>108.84353741496599</v>
      </c>
    </row>
    <row r="182" spans="2:9" x14ac:dyDescent="0.2">
      <c r="B182" s="108">
        <f t="shared" si="9"/>
        <v>177</v>
      </c>
      <c r="C182" s="12"/>
      <c r="D182" s="4"/>
      <c r="E182" s="13">
        <v>223002</v>
      </c>
      <c r="F182" s="4" t="s">
        <v>76</v>
      </c>
      <c r="G182" s="214">
        <v>9030</v>
      </c>
      <c r="H182" s="20">
        <v>9774</v>
      </c>
      <c r="I182" s="219">
        <f t="shared" si="6"/>
        <v>108.23920265780731</v>
      </c>
    </row>
    <row r="183" spans="2:9" x14ac:dyDescent="0.2">
      <c r="B183" s="108">
        <f t="shared" si="9"/>
        <v>178</v>
      </c>
      <c r="C183" s="12"/>
      <c r="D183" s="4"/>
      <c r="E183" s="13">
        <v>223003</v>
      </c>
      <c r="F183" s="44" t="s">
        <v>77</v>
      </c>
      <c r="G183" s="214">
        <v>20395</v>
      </c>
      <c r="H183" s="20">
        <v>20938</v>
      </c>
      <c r="I183" s="219">
        <f t="shared" si="6"/>
        <v>102.66241725913214</v>
      </c>
    </row>
    <row r="184" spans="2:9" x14ac:dyDescent="0.2">
      <c r="B184" s="108">
        <f t="shared" si="9"/>
        <v>179</v>
      </c>
      <c r="C184" s="66"/>
      <c r="D184" s="63"/>
      <c r="E184" s="67"/>
      <c r="F184" s="5" t="s">
        <v>73</v>
      </c>
      <c r="G184" s="237">
        <f>G185</f>
        <v>37730</v>
      </c>
      <c r="H184" s="251">
        <f>H185</f>
        <v>39750</v>
      </c>
      <c r="I184" s="219">
        <f t="shared" si="6"/>
        <v>105.35382984362576</v>
      </c>
    </row>
    <row r="185" spans="2:9" x14ac:dyDescent="0.2">
      <c r="B185" s="108">
        <f t="shared" si="9"/>
        <v>180</v>
      </c>
      <c r="C185" s="68">
        <v>220</v>
      </c>
      <c r="D185" s="64"/>
      <c r="E185" s="69"/>
      <c r="F185" s="2" t="s">
        <v>225</v>
      </c>
      <c r="G185" s="238">
        <f>G186</f>
        <v>37730</v>
      </c>
      <c r="H185" s="17">
        <f>H186</f>
        <v>39750</v>
      </c>
      <c r="I185" s="219">
        <f t="shared" si="6"/>
        <v>105.35382984362576</v>
      </c>
    </row>
    <row r="186" spans="2:9" x14ac:dyDescent="0.2">
      <c r="B186" s="108">
        <f t="shared" si="9"/>
        <v>181</v>
      </c>
      <c r="C186" s="70"/>
      <c r="D186" s="65">
        <v>223</v>
      </c>
      <c r="E186" s="71"/>
      <c r="F186" s="3" t="s">
        <v>254</v>
      </c>
      <c r="G186" s="213">
        <f>G188+G187</f>
        <v>37730</v>
      </c>
      <c r="H186" s="18">
        <f>H188+H187</f>
        <v>39750</v>
      </c>
      <c r="I186" s="219">
        <f t="shared" si="6"/>
        <v>105.35382984362576</v>
      </c>
    </row>
    <row r="187" spans="2:9" x14ac:dyDescent="0.2">
      <c r="B187" s="108">
        <f t="shared" si="9"/>
        <v>182</v>
      </c>
      <c r="C187" s="12"/>
      <c r="D187" s="4"/>
      <c r="E187" s="13">
        <v>223002</v>
      </c>
      <c r="F187" s="4" t="s">
        <v>76</v>
      </c>
      <c r="G187" s="214">
        <v>12620</v>
      </c>
      <c r="H187" s="20">
        <v>12329</v>
      </c>
      <c r="I187" s="219">
        <f t="shared" si="6"/>
        <v>97.694136291600628</v>
      </c>
    </row>
    <row r="188" spans="2:9" x14ac:dyDescent="0.2">
      <c r="B188" s="108">
        <f t="shared" si="9"/>
        <v>183</v>
      </c>
      <c r="C188" s="12"/>
      <c r="D188" s="4"/>
      <c r="E188" s="13">
        <v>223003</v>
      </c>
      <c r="F188" s="44" t="s">
        <v>77</v>
      </c>
      <c r="G188" s="214">
        <v>25110</v>
      </c>
      <c r="H188" s="20">
        <v>27421</v>
      </c>
      <c r="I188" s="219">
        <f t="shared" si="6"/>
        <v>109.20350457984867</v>
      </c>
    </row>
    <row r="189" spans="2:9" x14ac:dyDescent="0.2">
      <c r="B189" s="108">
        <f t="shared" si="9"/>
        <v>184</v>
      </c>
      <c r="C189" s="66"/>
      <c r="D189" s="63"/>
      <c r="E189" s="67"/>
      <c r="F189" s="5" t="s">
        <v>74</v>
      </c>
      <c r="G189" s="237">
        <f>G190</f>
        <v>21240</v>
      </c>
      <c r="H189" s="251">
        <f>H190</f>
        <v>21863</v>
      </c>
      <c r="I189" s="219">
        <f t="shared" si="6"/>
        <v>102.93314500941619</v>
      </c>
    </row>
    <row r="190" spans="2:9" x14ac:dyDescent="0.2">
      <c r="B190" s="108">
        <f t="shared" si="9"/>
        <v>185</v>
      </c>
      <c r="C190" s="68">
        <v>220</v>
      </c>
      <c r="D190" s="64"/>
      <c r="E190" s="69"/>
      <c r="F190" s="2" t="s">
        <v>225</v>
      </c>
      <c r="G190" s="238">
        <f>G191</f>
        <v>21240</v>
      </c>
      <c r="H190" s="17">
        <f>H191</f>
        <v>21863</v>
      </c>
      <c r="I190" s="219">
        <f t="shared" si="6"/>
        <v>102.93314500941619</v>
      </c>
    </row>
    <row r="191" spans="2:9" x14ac:dyDescent="0.2">
      <c r="B191" s="108">
        <f t="shared" si="9"/>
        <v>186</v>
      </c>
      <c r="C191" s="70"/>
      <c r="D191" s="65">
        <v>223</v>
      </c>
      <c r="E191" s="71"/>
      <c r="F191" s="3" t="s">
        <v>254</v>
      </c>
      <c r="G191" s="213">
        <f>G193+G192</f>
        <v>21240</v>
      </c>
      <c r="H191" s="18">
        <f>H193+H192</f>
        <v>21863</v>
      </c>
      <c r="I191" s="219">
        <f t="shared" si="6"/>
        <v>102.93314500941619</v>
      </c>
    </row>
    <row r="192" spans="2:9" x14ac:dyDescent="0.2">
      <c r="B192" s="108">
        <f t="shared" si="9"/>
        <v>187</v>
      </c>
      <c r="C192" s="12"/>
      <c r="D192" s="4"/>
      <c r="E192" s="13">
        <v>223002</v>
      </c>
      <c r="F192" s="4" t="s">
        <v>76</v>
      </c>
      <c r="G192" s="214">
        <v>7030</v>
      </c>
      <c r="H192" s="20">
        <v>6790</v>
      </c>
      <c r="I192" s="219">
        <f t="shared" si="6"/>
        <v>96.586059743954479</v>
      </c>
    </row>
    <row r="193" spans="2:9" x14ac:dyDescent="0.2">
      <c r="B193" s="108">
        <f t="shared" si="9"/>
        <v>188</v>
      </c>
      <c r="C193" s="12"/>
      <c r="D193" s="4"/>
      <c r="E193" s="13">
        <v>223003</v>
      </c>
      <c r="F193" s="44" t="s">
        <v>77</v>
      </c>
      <c r="G193" s="214">
        <v>14210</v>
      </c>
      <c r="H193" s="20">
        <v>15073</v>
      </c>
      <c r="I193" s="219">
        <f t="shared" si="6"/>
        <v>106.07318789584798</v>
      </c>
    </row>
    <row r="194" spans="2:9" x14ac:dyDescent="0.2">
      <c r="B194" s="108">
        <f t="shared" si="9"/>
        <v>189</v>
      </c>
      <c r="C194" s="66"/>
      <c r="D194" s="63"/>
      <c r="E194" s="67"/>
      <c r="F194" s="5" t="s">
        <v>103</v>
      </c>
      <c r="G194" s="237">
        <f>G195</f>
        <v>14060</v>
      </c>
      <c r="H194" s="251">
        <f>H195</f>
        <v>13209</v>
      </c>
      <c r="I194" s="219">
        <f t="shared" si="6"/>
        <v>93.94736842105263</v>
      </c>
    </row>
    <row r="195" spans="2:9" x14ac:dyDescent="0.2">
      <c r="B195" s="108">
        <f t="shared" si="9"/>
        <v>190</v>
      </c>
      <c r="C195" s="68">
        <v>220</v>
      </c>
      <c r="D195" s="64"/>
      <c r="E195" s="69"/>
      <c r="F195" s="2" t="s">
        <v>225</v>
      </c>
      <c r="G195" s="238">
        <f>G196</f>
        <v>14060</v>
      </c>
      <c r="H195" s="17">
        <f>H196</f>
        <v>13209</v>
      </c>
      <c r="I195" s="219">
        <f t="shared" si="6"/>
        <v>93.94736842105263</v>
      </c>
    </row>
    <row r="196" spans="2:9" x14ac:dyDescent="0.2">
      <c r="B196" s="108">
        <f t="shared" si="9"/>
        <v>191</v>
      </c>
      <c r="C196" s="70"/>
      <c r="D196" s="65">
        <v>223</v>
      </c>
      <c r="E196" s="71"/>
      <c r="F196" s="3" t="s">
        <v>254</v>
      </c>
      <c r="G196" s="213">
        <f>G198+G197</f>
        <v>14060</v>
      </c>
      <c r="H196" s="18">
        <f>H198+H197</f>
        <v>13209</v>
      </c>
      <c r="I196" s="219">
        <f t="shared" si="6"/>
        <v>93.94736842105263</v>
      </c>
    </row>
    <row r="197" spans="2:9" x14ac:dyDescent="0.2">
      <c r="B197" s="108">
        <f t="shared" si="9"/>
        <v>192</v>
      </c>
      <c r="C197" s="12"/>
      <c r="D197" s="4"/>
      <c r="E197" s="13">
        <v>223002</v>
      </c>
      <c r="F197" s="4" t="s">
        <v>76</v>
      </c>
      <c r="G197" s="214">
        <v>4160</v>
      </c>
      <c r="H197" s="20">
        <v>3987</v>
      </c>
      <c r="I197" s="219">
        <f t="shared" si="6"/>
        <v>95.841346153846146</v>
      </c>
    </row>
    <row r="198" spans="2:9" x14ac:dyDescent="0.2">
      <c r="B198" s="108">
        <f t="shared" si="9"/>
        <v>193</v>
      </c>
      <c r="C198" s="12"/>
      <c r="D198" s="4"/>
      <c r="E198" s="13">
        <v>223003</v>
      </c>
      <c r="F198" s="44" t="s">
        <v>77</v>
      </c>
      <c r="G198" s="214">
        <v>9900</v>
      </c>
      <c r="H198" s="20">
        <v>9222</v>
      </c>
      <c r="I198" s="219">
        <f t="shared" si="6"/>
        <v>93.151515151515156</v>
      </c>
    </row>
    <row r="199" spans="2:9" x14ac:dyDescent="0.2">
      <c r="B199" s="108">
        <f t="shared" si="9"/>
        <v>194</v>
      </c>
      <c r="C199" s="66"/>
      <c r="D199" s="63"/>
      <c r="E199" s="67"/>
      <c r="F199" s="5" t="s">
        <v>211</v>
      </c>
      <c r="G199" s="237">
        <f>G200</f>
        <v>21500</v>
      </c>
      <c r="H199" s="251">
        <f>H200</f>
        <v>22130</v>
      </c>
      <c r="I199" s="219">
        <f t="shared" si="6"/>
        <v>102.93023255813954</v>
      </c>
    </row>
    <row r="200" spans="2:9" x14ac:dyDescent="0.2">
      <c r="B200" s="108">
        <f t="shared" si="9"/>
        <v>195</v>
      </c>
      <c r="C200" s="68">
        <v>220</v>
      </c>
      <c r="D200" s="64"/>
      <c r="E200" s="69"/>
      <c r="F200" s="2" t="s">
        <v>225</v>
      </c>
      <c r="G200" s="238">
        <f>G201</f>
        <v>21500</v>
      </c>
      <c r="H200" s="17">
        <f>H201</f>
        <v>22130</v>
      </c>
      <c r="I200" s="219">
        <f t="shared" si="6"/>
        <v>102.93023255813954</v>
      </c>
    </row>
    <row r="201" spans="2:9" x14ac:dyDescent="0.2">
      <c r="B201" s="108">
        <f t="shared" si="9"/>
        <v>196</v>
      </c>
      <c r="C201" s="70"/>
      <c r="D201" s="65">
        <v>223</v>
      </c>
      <c r="E201" s="71"/>
      <c r="F201" s="3" t="s">
        <v>254</v>
      </c>
      <c r="G201" s="213">
        <f>G203+G202</f>
        <v>21500</v>
      </c>
      <c r="H201" s="18">
        <f>H203+H202</f>
        <v>22130</v>
      </c>
      <c r="I201" s="219">
        <f t="shared" si="6"/>
        <v>102.93023255813954</v>
      </c>
    </row>
    <row r="202" spans="2:9" x14ac:dyDescent="0.2">
      <c r="B202" s="108">
        <f t="shared" si="9"/>
        <v>197</v>
      </c>
      <c r="C202" s="12"/>
      <c r="D202" s="4"/>
      <c r="E202" s="13">
        <v>223002</v>
      </c>
      <c r="F202" s="4" t="s">
        <v>76</v>
      </c>
      <c r="G202" s="214">
        <v>2870</v>
      </c>
      <c r="H202" s="20">
        <v>4266</v>
      </c>
      <c r="I202" s="219">
        <f t="shared" si="6"/>
        <v>148.64111498257839</v>
      </c>
    </row>
    <row r="203" spans="2:9" x14ac:dyDescent="0.2">
      <c r="B203" s="108">
        <f t="shared" si="9"/>
        <v>198</v>
      </c>
      <c r="C203" s="12"/>
      <c r="D203" s="4"/>
      <c r="E203" s="13">
        <v>223003</v>
      </c>
      <c r="F203" s="44" t="s">
        <v>77</v>
      </c>
      <c r="G203" s="214">
        <v>18630</v>
      </c>
      <c r="H203" s="20">
        <v>17864</v>
      </c>
      <c r="I203" s="219">
        <f t="shared" si="6"/>
        <v>95.888352120236178</v>
      </c>
    </row>
    <row r="204" spans="2:9" x14ac:dyDescent="0.2">
      <c r="B204" s="108">
        <f t="shared" si="9"/>
        <v>199</v>
      </c>
      <c r="C204" s="66"/>
      <c r="D204" s="63"/>
      <c r="E204" s="67"/>
      <c r="F204" s="5" t="s">
        <v>75</v>
      </c>
      <c r="G204" s="237">
        <f t="shared" ref="G204:H206" si="10">G205</f>
        <v>2870</v>
      </c>
      <c r="H204" s="251">
        <f t="shared" si="10"/>
        <v>3146</v>
      </c>
      <c r="I204" s="219">
        <f t="shared" si="6"/>
        <v>109.61672473867597</v>
      </c>
    </row>
    <row r="205" spans="2:9" x14ac:dyDescent="0.2">
      <c r="B205" s="108">
        <f t="shared" si="9"/>
        <v>200</v>
      </c>
      <c r="C205" s="68">
        <v>220</v>
      </c>
      <c r="D205" s="64"/>
      <c r="E205" s="69"/>
      <c r="F205" s="2" t="s">
        <v>225</v>
      </c>
      <c r="G205" s="238">
        <f t="shared" si="10"/>
        <v>2870</v>
      </c>
      <c r="H205" s="17">
        <f t="shared" si="10"/>
        <v>3146</v>
      </c>
      <c r="I205" s="219">
        <f t="shared" si="6"/>
        <v>109.61672473867597</v>
      </c>
    </row>
    <row r="206" spans="2:9" x14ac:dyDescent="0.2">
      <c r="B206" s="108">
        <f t="shared" si="9"/>
        <v>201</v>
      </c>
      <c r="C206" s="70"/>
      <c r="D206" s="65">
        <v>223</v>
      </c>
      <c r="E206" s="71"/>
      <c r="F206" s="3" t="s">
        <v>254</v>
      </c>
      <c r="G206" s="213">
        <f t="shared" si="10"/>
        <v>2870</v>
      </c>
      <c r="H206" s="18">
        <f t="shared" si="10"/>
        <v>3146</v>
      </c>
      <c r="I206" s="219">
        <f t="shared" si="6"/>
        <v>109.61672473867597</v>
      </c>
    </row>
    <row r="207" spans="2:9" x14ac:dyDescent="0.2">
      <c r="B207" s="108">
        <f t="shared" si="9"/>
        <v>202</v>
      </c>
      <c r="C207" s="12"/>
      <c r="D207" s="4"/>
      <c r="E207" s="13">
        <v>223002</v>
      </c>
      <c r="F207" s="4" t="s">
        <v>76</v>
      </c>
      <c r="G207" s="214">
        <v>2870</v>
      </c>
      <c r="H207" s="20">
        <v>3146</v>
      </c>
      <c r="I207" s="219">
        <f t="shared" si="6"/>
        <v>109.61672473867597</v>
      </c>
    </row>
    <row r="208" spans="2:9" x14ac:dyDescent="0.2">
      <c r="B208" s="108">
        <f t="shared" si="9"/>
        <v>203</v>
      </c>
      <c r="C208" s="66"/>
      <c r="D208" s="63"/>
      <c r="E208" s="67"/>
      <c r="F208" s="5" t="s">
        <v>115</v>
      </c>
      <c r="G208" s="237">
        <f t="shared" ref="G208:H210" si="11">G209</f>
        <v>10760</v>
      </c>
      <c r="H208" s="251">
        <f t="shared" si="11"/>
        <v>10480</v>
      </c>
      <c r="I208" s="219">
        <f t="shared" si="6"/>
        <v>97.39776951672863</v>
      </c>
    </row>
    <row r="209" spans="2:9" x14ac:dyDescent="0.2">
      <c r="B209" s="108">
        <f t="shared" si="9"/>
        <v>204</v>
      </c>
      <c r="C209" s="68">
        <v>220</v>
      </c>
      <c r="D209" s="64"/>
      <c r="E209" s="69"/>
      <c r="F209" s="2" t="s">
        <v>225</v>
      </c>
      <c r="G209" s="238">
        <f t="shared" si="11"/>
        <v>10760</v>
      </c>
      <c r="H209" s="17">
        <f t="shared" si="11"/>
        <v>10480</v>
      </c>
      <c r="I209" s="219">
        <f t="shared" ref="I209:I276" si="12">H209/G209*100</f>
        <v>97.39776951672863</v>
      </c>
    </row>
    <row r="210" spans="2:9" x14ac:dyDescent="0.2">
      <c r="B210" s="108">
        <f t="shared" si="9"/>
        <v>205</v>
      </c>
      <c r="C210" s="70"/>
      <c r="D210" s="65">
        <v>223</v>
      </c>
      <c r="E210" s="71"/>
      <c r="F210" s="3" t="s">
        <v>254</v>
      </c>
      <c r="G210" s="213">
        <f t="shared" si="11"/>
        <v>10760</v>
      </c>
      <c r="H210" s="18">
        <f t="shared" si="11"/>
        <v>10480</v>
      </c>
      <c r="I210" s="219">
        <f t="shared" si="12"/>
        <v>97.39776951672863</v>
      </c>
    </row>
    <row r="211" spans="2:9" x14ac:dyDescent="0.2">
      <c r="B211" s="108">
        <f t="shared" si="9"/>
        <v>206</v>
      </c>
      <c r="C211" s="12"/>
      <c r="D211" s="4"/>
      <c r="E211" s="13">
        <v>223002</v>
      </c>
      <c r="F211" s="4" t="s">
        <v>76</v>
      </c>
      <c r="G211" s="214">
        <v>10760</v>
      </c>
      <c r="H211" s="20">
        <v>10480</v>
      </c>
      <c r="I211" s="219">
        <f t="shared" si="12"/>
        <v>97.39776951672863</v>
      </c>
    </row>
    <row r="212" spans="2:9" x14ac:dyDescent="0.2">
      <c r="B212" s="108">
        <f t="shared" si="9"/>
        <v>207</v>
      </c>
      <c r="C212" s="66"/>
      <c r="D212" s="63"/>
      <c r="E212" s="67"/>
      <c r="F212" s="5" t="s">
        <v>99</v>
      </c>
      <c r="G212" s="237">
        <f t="shared" ref="G212:H214" si="13">G213</f>
        <v>1270</v>
      </c>
      <c r="H212" s="251">
        <f t="shared" si="13"/>
        <v>1336</v>
      </c>
      <c r="I212" s="219">
        <f t="shared" si="12"/>
        <v>105.19685039370079</v>
      </c>
    </row>
    <row r="213" spans="2:9" x14ac:dyDescent="0.2">
      <c r="B213" s="108">
        <f t="shared" si="9"/>
        <v>208</v>
      </c>
      <c r="C213" s="68">
        <v>220</v>
      </c>
      <c r="D213" s="64"/>
      <c r="E213" s="69"/>
      <c r="F213" s="2" t="s">
        <v>225</v>
      </c>
      <c r="G213" s="238">
        <f t="shared" si="13"/>
        <v>1270</v>
      </c>
      <c r="H213" s="17">
        <f t="shared" si="13"/>
        <v>1336</v>
      </c>
      <c r="I213" s="219">
        <f t="shared" si="12"/>
        <v>105.19685039370079</v>
      </c>
    </row>
    <row r="214" spans="2:9" x14ac:dyDescent="0.2">
      <c r="B214" s="108">
        <f t="shared" si="9"/>
        <v>209</v>
      </c>
      <c r="C214" s="70"/>
      <c r="D214" s="65">
        <v>223</v>
      </c>
      <c r="E214" s="71"/>
      <c r="F214" s="3" t="s">
        <v>254</v>
      </c>
      <c r="G214" s="213">
        <f t="shared" si="13"/>
        <v>1270</v>
      </c>
      <c r="H214" s="18">
        <f t="shared" si="13"/>
        <v>1336</v>
      </c>
      <c r="I214" s="219">
        <f t="shared" si="12"/>
        <v>105.19685039370079</v>
      </c>
    </row>
    <row r="215" spans="2:9" x14ac:dyDescent="0.2">
      <c r="B215" s="108">
        <f t="shared" si="9"/>
        <v>210</v>
      </c>
      <c r="C215" s="12"/>
      <c r="D215" s="4"/>
      <c r="E215" s="13">
        <v>223002</v>
      </c>
      <c r="F215" s="4" t="s">
        <v>76</v>
      </c>
      <c r="G215" s="214">
        <v>1270</v>
      </c>
      <c r="H215" s="20">
        <v>1336</v>
      </c>
      <c r="I215" s="219">
        <f t="shared" si="12"/>
        <v>105.19685039370079</v>
      </c>
    </row>
    <row r="216" spans="2:9" x14ac:dyDescent="0.2">
      <c r="B216" s="108">
        <f t="shared" si="9"/>
        <v>211</v>
      </c>
      <c r="C216" s="66"/>
      <c r="D216" s="63"/>
      <c r="E216" s="67"/>
      <c r="F216" s="5" t="s">
        <v>96</v>
      </c>
      <c r="G216" s="237">
        <f>G217</f>
        <v>30292</v>
      </c>
      <c r="H216" s="251">
        <f>H217</f>
        <v>24563</v>
      </c>
      <c r="I216" s="219">
        <f t="shared" si="12"/>
        <v>81.087415819358242</v>
      </c>
    </row>
    <row r="217" spans="2:9" x14ac:dyDescent="0.2">
      <c r="B217" s="108">
        <f t="shared" si="9"/>
        <v>212</v>
      </c>
      <c r="C217" s="68">
        <v>220</v>
      </c>
      <c r="D217" s="64"/>
      <c r="E217" s="69"/>
      <c r="F217" s="2" t="s">
        <v>225</v>
      </c>
      <c r="G217" s="238">
        <f>G218</f>
        <v>30292</v>
      </c>
      <c r="H217" s="17">
        <f>H218</f>
        <v>24563</v>
      </c>
      <c r="I217" s="219">
        <f t="shared" si="12"/>
        <v>81.087415819358242</v>
      </c>
    </row>
    <row r="218" spans="2:9" x14ac:dyDescent="0.2">
      <c r="B218" s="108">
        <f t="shared" si="9"/>
        <v>213</v>
      </c>
      <c r="C218" s="70"/>
      <c r="D218" s="65">
        <v>223</v>
      </c>
      <c r="E218" s="71"/>
      <c r="F218" s="3" t="s">
        <v>254</v>
      </c>
      <c r="G218" s="213">
        <f>G220+G219</f>
        <v>30292</v>
      </c>
      <c r="H218" s="18">
        <f>H220+H219</f>
        <v>24563</v>
      </c>
      <c r="I218" s="219">
        <f t="shared" si="12"/>
        <v>81.087415819358242</v>
      </c>
    </row>
    <row r="219" spans="2:9" x14ac:dyDescent="0.2">
      <c r="B219" s="108">
        <f t="shared" si="9"/>
        <v>214</v>
      </c>
      <c r="C219" s="70"/>
      <c r="D219" s="65"/>
      <c r="E219" s="13">
        <v>223001</v>
      </c>
      <c r="F219" s="4" t="s">
        <v>255</v>
      </c>
      <c r="G219" s="214">
        <v>342</v>
      </c>
      <c r="H219" s="20">
        <v>416</v>
      </c>
      <c r="I219" s="219">
        <f t="shared" si="12"/>
        <v>121.63742690058479</v>
      </c>
    </row>
    <row r="220" spans="2:9" x14ac:dyDescent="0.2">
      <c r="B220" s="108">
        <f t="shared" si="9"/>
        <v>215</v>
      </c>
      <c r="C220" s="12"/>
      <c r="D220" s="4"/>
      <c r="E220" s="13">
        <v>223003</v>
      </c>
      <c r="F220" s="44" t="s">
        <v>77</v>
      </c>
      <c r="G220" s="214">
        <v>29950</v>
      </c>
      <c r="H220" s="20">
        <v>24147</v>
      </c>
      <c r="I220" s="219">
        <f t="shared" si="12"/>
        <v>80.624373956594326</v>
      </c>
    </row>
    <row r="221" spans="2:9" x14ac:dyDescent="0.2">
      <c r="B221" s="108">
        <f>B220+1</f>
        <v>216</v>
      </c>
      <c r="C221" s="66"/>
      <c r="D221" s="63"/>
      <c r="E221" s="67"/>
      <c r="F221" s="5" t="s">
        <v>97</v>
      </c>
      <c r="G221" s="237">
        <f>G225+G222+G228</f>
        <v>10735</v>
      </c>
      <c r="H221" s="251">
        <f>H225+H222+H228</f>
        <v>13640</v>
      </c>
      <c r="I221" s="219">
        <f t="shared" si="12"/>
        <v>127.06101537028411</v>
      </c>
    </row>
    <row r="222" spans="2:9" x14ac:dyDescent="0.2">
      <c r="B222" s="108">
        <f t="shared" si="9"/>
        <v>217</v>
      </c>
      <c r="C222" s="68">
        <v>210</v>
      </c>
      <c r="D222" s="64"/>
      <c r="E222" s="69"/>
      <c r="F222" s="2" t="s">
        <v>250</v>
      </c>
      <c r="G222" s="238">
        <f>G223</f>
        <v>2720</v>
      </c>
      <c r="H222" s="17">
        <f>H223</f>
        <v>2720</v>
      </c>
      <c r="I222" s="219">
        <f t="shared" si="12"/>
        <v>100</v>
      </c>
    </row>
    <row r="223" spans="2:9" x14ac:dyDescent="0.2">
      <c r="B223" s="108">
        <f t="shared" si="9"/>
        <v>218</v>
      </c>
      <c r="C223" s="70"/>
      <c r="D223" s="65">
        <v>212</v>
      </c>
      <c r="E223" s="71"/>
      <c r="F223" s="3" t="s">
        <v>251</v>
      </c>
      <c r="G223" s="213">
        <f>G224</f>
        <v>2720</v>
      </c>
      <c r="H223" s="18">
        <f>H224</f>
        <v>2720</v>
      </c>
      <c r="I223" s="219">
        <f t="shared" si="12"/>
        <v>100</v>
      </c>
    </row>
    <row r="224" spans="2:9" x14ac:dyDescent="0.2">
      <c r="B224" s="108">
        <f t="shared" si="9"/>
        <v>219</v>
      </c>
      <c r="C224" s="12"/>
      <c r="D224" s="4"/>
      <c r="E224" s="13">
        <v>212003</v>
      </c>
      <c r="F224" s="4" t="s">
        <v>252</v>
      </c>
      <c r="G224" s="214">
        <v>2720</v>
      </c>
      <c r="H224" s="20">
        <v>2720</v>
      </c>
      <c r="I224" s="219">
        <f t="shared" si="12"/>
        <v>100</v>
      </c>
    </row>
    <row r="225" spans="2:9" x14ac:dyDescent="0.2">
      <c r="B225" s="108">
        <f t="shared" si="9"/>
        <v>220</v>
      </c>
      <c r="C225" s="68">
        <v>240</v>
      </c>
      <c r="D225" s="64"/>
      <c r="E225" s="69"/>
      <c r="F225" s="2" t="s">
        <v>179</v>
      </c>
      <c r="G225" s="238">
        <f>G226</f>
        <v>15</v>
      </c>
      <c r="H225" s="17">
        <f>H226</f>
        <v>0</v>
      </c>
      <c r="I225" s="219">
        <f t="shared" si="12"/>
        <v>0</v>
      </c>
    </row>
    <row r="226" spans="2:9" x14ac:dyDescent="0.2">
      <c r="B226" s="108">
        <f t="shared" si="9"/>
        <v>221</v>
      </c>
      <c r="C226" s="70"/>
      <c r="D226" s="65">
        <v>242</v>
      </c>
      <c r="E226" s="71"/>
      <c r="F226" s="3" t="s">
        <v>178</v>
      </c>
      <c r="G226" s="213">
        <f>G227</f>
        <v>15</v>
      </c>
      <c r="H226" s="18">
        <f>H227</f>
        <v>0</v>
      </c>
      <c r="I226" s="219">
        <f t="shared" si="12"/>
        <v>0</v>
      </c>
    </row>
    <row r="227" spans="2:9" x14ac:dyDescent="0.2">
      <c r="B227" s="108">
        <f t="shared" si="9"/>
        <v>222</v>
      </c>
      <c r="C227" s="12"/>
      <c r="D227" s="4"/>
      <c r="E227" s="13">
        <v>242</v>
      </c>
      <c r="F227" s="4" t="s">
        <v>178</v>
      </c>
      <c r="G227" s="214">
        <v>15</v>
      </c>
      <c r="H227" s="20"/>
      <c r="I227" s="219">
        <f t="shared" si="12"/>
        <v>0</v>
      </c>
    </row>
    <row r="228" spans="2:9" x14ac:dyDescent="0.2">
      <c r="B228" s="108">
        <f t="shared" si="9"/>
        <v>223</v>
      </c>
      <c r="C228" s="68">
        <v>290</v>
      </c>
      <c r="D228" s="64"/>
      <c r="E228" s="69"/>
      <c r="F228" s="2" t="s">
        <v>181</v>
      </c>
      <c r="G228" s="238">
        <f>G229</f>
        <v>8000</v>
      </c>
      <c r="H228" s="17">
        <f>H229</f>
        <v>10920</v>
      </c>
      <c r="I228" s="219">
        <f t="shared" si="12"/>
        <v>136.5</v>
      </c>
    </row>
    <row r="229" spans="2:9" x14ac:dyDescent="0.2">
      <c r="B229" s="108">
        <f t="shared" si="9"/>
        <v>224</v>
      </c>
      <c r="C229" s="70"/>
      <c r="D229" s="65">
        <v>292</v>
      </c>
      <c r="E229" s="71"/>
      <c r="F229" s="3" t="s">
        <v>182</v>
      </c>
      <c r="G229" s="213">
        <f>G230</f>
        <v>8000</v>
      </c>
      <c r="H229" s="18">
        <f>H230</f>
        <v>10920</v>
      </c>
      <c r="I229" s="219">
        <f t="shared" si="12"/>
        <v>136.5</v>
      </c>
    </row>
    <row r="230" spans="2:9" ht="13.5" thickBot="1" x14ac:dyDescent="0.25">
      <c r="B230" s="108">
        <f t="shared" si="9"/>
        <v>225</v>
      </c>
      <c r="C230" s="12"/>
      <c r="D230" s="4"/>
      <c r="E230" s="13">
        <v>292017</v>
      </c>
      <c r="F230" s="4" t="s">
        <v>237</v>
      </c>
      <c r="G230" s="214">
        <v>8000</v>
      </c>
      <c r="H230" s="20">
        <f>10919+1</f>
        <v>10920</v>
      </c>
      <c r="I230" s="219">
        <f t="shared" si="12"/>
        <v>136.5</v>
      </c>
    </row>
    <row r="231" spans="2:9" ht="15.75" thickBot="1" x14ac:dyDescent="0.3">
      <c r="B231" s="108">
        <f t="shared" si="9"/>
        <v>226</v>
      </c>
      <c r="C231" s="72">
        <v>5</v>
      </c>
      <c r="D231" s="141"/>
      <c r="E231" s="73"/>
      <c r="F231" s="9" t="s">
        <v>116</v>
      </c>
      <c r="G231" s="236">
        <f>G240+G246+G250+G254+G258+G265+G273+G282+G288+G294+G299+G235</f>
        <v>795042</v>
      </c>
      <c r="H231" s="250">
        <f>H240+H246+H250+H254+H258+H265+H273+H282+H288+H294+H299+H235+H232</f>
        <v>815320</v>
      </c>
      <c r="I231" s="219">
        <f t="shared" si="12"/>
        <v>102.55055707748772</v>
      </c>
    </row>
    <row r="232" spans="2:9" x14ac:dyDescent="0.2">
      <c r="B232" s="108">
        <f t="shared" si="9"/>
        <v>227</v>
      </c>
      <c r="C232" s="391">
        <v>220</v>
      </c>
      <c r="D232" s="391"/>
      <c r="E232" s="391"/>
      <c r="F232" s="392" t="s">
        <v>225</v>
      </c>
      <c r="G232" s="393">
        <f>G233</f>
        <v>0</v>
      </c>
      <c r="H232" s="394">
        <f>H233</f>
        <v>43</v>
      </c>
      <c r="I232" s="395">
        <v>0</v>
      </c>
    </row>
    <row r="233" spans="2:9" x14ac:dyDescent="0.2">
      <c r="B233" s="108">
        <f t="shared" si="9"/>
        <v>228</v>
      </c>
      <c r="C233" s="70"/>
      <c r="D233" s="65">
        <v>223</v>
      </c>
      <c r="E233" s="71"/>
      <c r="F233" s="3" t="s">
        <v>254</v>
      </c>
      <c r="G233" s="213">
        <f>G234</f>
        <v>0</v>
      </c>
      <c r="H233" s="18">
        <f>H234</f>
        <v>43</v>
      </c>
      <c r="I233" s="219">
        <v>0</v>
      </c>
    </row>
    <row r="234" spans="2:9" x14ac:dyDescent="0.2">
      <c r="B234" s="108">
        <f t="shared" si="9"/>
        <v>229</v>
      </c>
      <c r="C234" s="12"/>
      <c r="D234" s="4"/>
      <c r="E234" s="13">
        <v>223002</v>
      </c>
      <c r="F234" s="4" t="s">
        <v>681</v>
      </c>
      <c r="G234" s="214">
        <v>0</v>
      </c>
      <c r="H234" s="20">
        <v>43</v>
      </c>
      <c r="I234" s="219">
        <v>0</v>
      </c>
    </row>
    <row r="235" spans="2:9" x14ac:dyDescent="0.2">
      <c r="B235" s="108">
        <f t="shared" si="9"/>
        <v>230</v>
      </c>
      <c r="C235" s="63">
        <v>290</v>
      </c>
      <c r="D235" s="391"/>
      <c r="E235" s="63"/>
      <c r="F235" s="5" t="s">
        <v>181</v>
      </c>
      <c r="G235" s="237">
        <f>G236</f>
        <v>19842</v>
      </c>
      <c r="H235" s="251">
        <f>H236</f>
        <v>23193</v>
      </c>
      <c r="I235" s="219">
        <f t="shared" si="12"/>
        <v>116.88841850619897</v>
      </c>
    </row>
    <row r="236" spans="2:9" x14ac:dyDescent="0.2">
      <c r="B236" s="108">
        <f t="shared" si="9"/>
        <v>231</v>
      </c>
      <c r="C236" s="64"/>
      <c r="D236" s="64">
        <v>292</v>
      </c>
      <c r="E236" s="64"/>
      <c r="F236" s="2" t="s">
        <v>182</v>
      </c>
      <c r="G236" s="238">
        <f>G237+G238</f>
        <v>19842</v>
      </c>
      <c r="H236" s="17">
        <f>SUM(H237:H239)</f>
        <v>23193</v>
      </c>
      <c r="I236" s="219">
        <f t="shared" si="12"/>
        <v>116.88841850619897</v>
      </c>
    </row>
    <row r="237" spans="2:9" x14ac:dyDescent="0.2">
      <c r="B237" s="108">
        <f t="shared" si="9"/>
        <v>232</v>
      </c>
      <c r="C237" s="65"/>
      <c r="D237" s="65"/>
      <c r="E237" s="4">
        <v>292012</v>
      </c>
      <c r="F237" s="4" t="s">
        <v>236</v>
      </c>
      <c r="G237" s="214">
        <v>6673</v>
      </c>
      <c r="H237" s="20">
        <v>6721</v>
      </c>
      <c r="I237" s="219">
        <f t="shared" si="12"/>
        <v>100.71931664918327</v>
      </c>
    </row>
    <row r="238" spans="2:9" x14ac:dyDescent="0.2">
      <c r="B238" s="108">
        <f t="shared" si="9"/>
        <v>233</v>
      </c>
      <c r="C238" s="70"/>
      <c r="D238" s="65"/>
      <c r="E238" s="13">
        <v>292017</v>
      </c>
      <c r="F238" s="4" t="s">
        <v>237</v>
      </c>
      <c r="G238" s="214">
        <v>13169</v>
      </c>
      <c r="H238" s="20">
        <v>13939</v>
      </c>
      <c r="I238" s="219">
        <f t="shared" si="12"/>
        <v>105.84706507707496</v>
      </c>
    </row>
    <row r="239" spans="2:9" x14ac:dyDescent="0.2">
      <c r="B239" s="108">
        <f t="shared" si="9"/>
        <v>234</v>
      </c>
      <c r="C239" s="70"/>
      <c r="D239" s="65"/>
      <c r="E239" s="13">
        <v>292019</v>
      </c>
      <c r="F239" s="4" t="s">
        <v>682</v>
      </c>
      <c r="G239" s="214"/>
      <c r="H239" s="20">
        <v>2533</v>
      </c>
      <c r="I239" s="219"/>
    </row>
    <row r="240" spans="2:9" x14ac:dyDescent="0.2">
      <c r="B240" s="108">
        <f t="shared" si="9"/>
        <v>235</v>
      </c>
      <c r="C240" s="66"/>
      <c r="D240" s="63"/>
      <c r="E240" s="67"/>
      <c r="F240" s="5" t="s">
        <v>78</v>
      </c>
      <c r="G240" s="237">
        <f>G241</f>
        <v>144400</v>
      </c>
      <c r="H240" s="251">
        <f>H241</f>
        <v>100840</v>
      </c>
      <c r="I240" s="219">
        <f t="shared" si="12"/>
        <v>69.83379501385042</v>
      </c>
    </row>
    <row r="241" spans="2:9" x14ac:dyDescent="0.2">
      <c r="B241" s="108">
        <f t="shared" si="9"/>
        <v>236</v>
      </c>
      <c r="C241" s="68">
        <v>220</v>
      </c>
      <c r="D241" s="64"/>
      <c r="E241" s="69"/>
      <c r="F241" s="2" t="s">
        <v>225</v>
      </c>
      <c r="G241" s="238">
        <f>G242</f>
        <v>144400</v>
      </c>
      <c r="H241" s="17">
        <f>H242</f>
        <v>100840</v>
      </c>
      <c r="I241" s="219">
        <f t="shared" si="12"/>
        <v>69.83379501385042</v>
      </c>
    </row>
    <row r="242" spans="2:9" x14ac:dyDescent="0.2">
      <c r="B242" s="108">
        <f t="shared" si="9"/>
        <v>237</v>
      </c>
      <c r="C242" s="70"/>
      <c r="D242" s="65">
        <v>223</v>
      </c>
      <c r="E242" s="71"/>
      <c r="F242" s="3" t="s">
        <v>254</v>
      </c>
      <c r="G242" s="213">
        <f>G243+G244+G245</f>
        <v>144400</v>
      </c>
      <c r="H242" s="18">
        <f>H243+H244+H245</f>
        <v>100840</v>
      </c>
      <c r="I242" s="219">
        <f t="shared" si="12"/>
        <v>69.83379501385042</v>
      </c>
    </row>
    <row r="243" spans="2:9" x14ac:dyDescent="0.2">
      <c r="B243" s="108">
        <f t="shared" si="9"/>
        <v>238</v>
      </c>
      <c r="C243" s="12"/>
      <c r="D243" s="4"/>
      <c r="E243" s="13">
        <v>223002</v>
      </c>
      <c r="F243" s="4" t="s">
        <v>76</v>
      </c>
      <c r="G243" s="214">
        <v>134400</v>
      </c>
      <c r="H243" s="20">
        <v>91717</v>
      </c>
      <c r="I243" s="219">
        <f t="shared" si="12"/>
        <v>68.241815476190482</v>
      </c>
    </row>
    <row r="244" spans="2:9" x14ac:dyDescent="0.2">
      <c r="B244" s="108">
        <f t="shared" si="9"/>
        <v>239</v>
      </c>
      <c r="C244" s="12"/>
      <c r="D244" s="4"/>
      <c r="E244" s="13">
        <v>223003</v>
      </c>
      <c r="F244" s="4" t="s">
        <v>77</v>
      </c>
      <c r="G244" s="214">
        <v>9000</v>
      </c>
      <c r="H244" s="20">
        <v>8449</v>
      </c>
      <c r="I244" s="219">
        <f t="shared" si="12"/>
        <v>93.87777777777778</v>
      </c>
    </row>
    <row r="245" spans="2:9" x14ac:dyDescent="0.2">
      <c r="B245" s="108">
        <f t="shared" si="9"/>
        <v>240</v>
      </c>
      <c r="C245" s="12"/>
      <c r="D245" s="4"/>
      <c r="E245" s="13">
        <v>223003</v>
      </c>
      <c r="F245" s="4" t="s">
        <v>304</v>
      </c>
      <c r="G245" s="214">
        <v>1000</v>
      </c>
      <c r="H245" s="20">
        <v>674</v>
      </c>
      <c r="I245" s="219">
        <f t="shared" si="12"/>
        <v>67.400000000000006</v>
      </c>
    </row>
    <row r="246" spans="2:9" x14ac:dyDescent="0.2">
      <c r="B246" s="108">
        <f t="shared" si="9"/>
        <v>241</v>
      </c>
      <c r="C246" s="66"/>
      <c r="D246" s="63"/>
      <c r="E246" s="67"/>
      <c r="F246" s="5" t="s">
        <v>306</v>
      </c>
      <c r="G246" s="237">
        <f t="shared" ref="G246:H248" si="14">G247</f>
        <v>6600</v>
      </c>
      <c r="H246" s="251">
        <f t="shared" si="14"/>
        <v>5879</v>
      </c>
      <c r="I246" s="219">
        <f t="shared" si="12"/>
        <v>89.075757575757578</v>
      </c>
    </row>
    <row r="247" spans="2:9" x14ac:dyDescent="0.2">
      <c r="B247" s="108">
        <f t="shared" si="9"/>
        <v>242</v>
      </c>
      <c r="C247" s="68">
        <v>220</v>
      </c>
      <c r="D247" s="64"/>
      <c r="E247" s="69"/>
      <c r="F247" s="2" t="s">
        <v>225</v>
      </c>
      <c r="G247" s="238">
        <f t="shared" si="14"/>
        <v>6600</v>
      </c>
      <c r="H247" s="17">
        <f t="shared" si="14"/>
        <v>5879</v>
      </c>
      <c r="I247" s="219">
        <f t="shared" si="12"/>
        <v>89.075757575757578</v>
      </c>
    </row>
    <row r="248" spans="2:9" x14ac:dyDescent="0.2">
      <c r="B248" s="108">
        <f t="shared" si="9"/>
        <v>243</v>
      </c>
      <c r="C248" s="70"/>
      <c r="D248" s="65">
        <v>223</v>
      </c>
      <c r="E248" s="71"/>
      <c r="F248" s="3" t="s">
        <v>254</v>
      </c>
      <c r="G248" s="213">
        <f t="shared" si="14"/>
        <v>6600</v>
      </c>
      <c r="H248" s="18">
        <f t="shared" si="14"/>
        <v>5879</v>
      </c>
      <c r="I248" s="219">
        <f t="shared" si="12"/>
        <v>89.075757575757578</v>
      </c>
    </row>
    <row r="249" spans="2:9" x14ac:dyDescent="0.2">
      <c r="B249" s="108">
        <f t="shared" si="9"/>
        <v>244</v>
      </c>
      <c r="C249" s="12"/>
      <c r="D249" s="4"/>
      <c r="E249" s="13">
        <v>223003</v>
      </c>
      <c r="F249" s="4" t="s">
        <v>77</v>
      </c>
      <c r="G249" s="214">
        <v>6600</v>
      </c>
      <c r="H249" s="20">
        <v>5879</v>
      </c>
      <c r="I249" s="219">
        <f t="shared" si="12"/>
        <v>89.075757575757578</v>
      </c>
    </row>
    <row r="250" spans="2:9" x14ac:dyDescent="0.2">
      <c r="B250" s="108">
        <f t="shared" si="9"/>
        <v>245</v>
      </c>
      <c r="C250" s="66"/>
      <c r="D250" s="63"/>
      <c r="E250" s="67"/>
      <c r="F250" s="5" t="s">
        <v>117</v>
      </c>
      <c r="G250" s="237">
        <f t="shared" ref="G250:H252" si="15">G251</f>
        <v>2000</v>
      </c>
      <c r="H250" s="251">
        <f t="shared" si="15"/>
        <v>996</v>
      </c>
      <c r="I250" s="219">
        <f t="shared" si="12"/>
        <v>49.8</v>
      </c>
    </row>
    <row r="251" spans="2:9" x14ac:dyDescent="0.2">
      <c r="B251" s="108">
        <f t="shared" si="9"/>
        <v>246</v>
      </c>
      <c r="C251" s="68">
        <v>220</v>
      </c>
      <c r="D251" s="64"/>
      <c r="E251" s="69"/>
      <c r="F251" s="2" t="s">
        <v>225</v>
      </c>
      <c r="G251" s="238">
        <f t="shared" si="15"/>
        <v>2000</v>
      </c>
      <c r="H251" s="17">
        <f t="shared" si="15"/>
        <v>996</v>
      </c>
      <c r="I251" s="219">
        <f t="shared" si="12"/>
        <v>49.8</v>
      </c>
    </row>
    <row r="252" spans="2:9" x14ac:dyDescent="0.2">
      <c r="B252" s="108">
        <f t="shared" si="9"/>
        <v>247</v>
      </c>
      <c r="C252" s="70"/>
      <c r="D252" s="65">
        <v>223</v>
      </c>
      <c r="E252" s="71"/>
      <c r="F252" s="3" t="s">
        <v>254</v>
      </c>
      <c r="G252" s="213">
        <f t="shared" si="15"/>
        <v>2000</v>
      </c>
      <c r="H252" s="18">
        <f t="shared" si="15"/>
        <v>996</v>
      </c>
      <c r="I252" s="219">
        <f t="shared" si="12"/>
        <v>49.8</v>
      </c>
    </row>
    <row r="253" spans="2:9" x14ac:dyDescent="0.2">
      <c r="B253" s="108">
        <f t="shared" si="9"/>
        <v>248</v>
      </c>
      <c r="C253" s="12"/>
      <c r="D253" s="4"/>
      <c r="E253" s="13">
        <v>223001</v>
      </c>
      <c r="F253" s="4" t="s">
        <v>255</v>
      </c>
      <c r="G253" s="214">
        <v>2000</v>
      </c>
      <c r="H253" s="20">
        <v>996</v>
      </c>
      <c r="I253" s="219">
        <f t="shared" si="12"/>
        <v>49.8</v>
      </c>
    </row>
    <row r="254" spans="2:9" x14ac:dyDescent="0.2">
      <c r="B254" s="108">
        <f t="shared" si="9"/>
        <v>249</v>
      </c>
      <c r="C254" s="66"/>
      <c r="D254" s="63"/>
      <c r="E254" s="67"/>
      <c r="F254" s="5" t="s">
        <v>305</v>
      </c>
      <c r="G254" s="237">
        <f t="shared" ref="G254:H256" si="16">G255</f>
        <v>3000</v>
      </c>
      <c r="H254" s="251">
        <f t="shared" si="16"/>
        <v>2288</v>
      </c>
      <c r="I254" s="219">
        <f t="shared" si="12"/>
        <v>76.266666666666666</v>
      </c>
    </row>
    <row r="255" spans="2:9" x14ac:dyDescent="0.2">
      <c r="B255" s="108">
        <f t="shared" si="9"/>
        <v>250</v>
      </c>
      <c r="C255" s="68">
        <v>220</v>
      </c>
      <c r="D255" s="64"/>
      <c r="E255" s="69"/>
      <c r="F255" s="2" t="s">
        <v>225</v>
      </c>
      <c r="G255" s="238">
        <f t="shared" si="16"/>
        <v>3000</v>
      </c>
      <c r="H255" s="17">
        <f t="shared" si="16"/>
        <v>2288</v>
      </c>
      <c r="I255" s="219">
        <f t="shared" si="12"/>
        <v>76.266666666666666</v>
      </c>
    </row>
    <row r="256" spans="2:9" x14ac:dyDescent="0.2">
      <c r="B256" s="108">
        <f>B255+1</f>
        <v>251</v>
      </c>
      <c r="C256" s="70"/>
      <c r="D256" s="65">
        <v>223</v>
      </c>
      <c r="E256" s="71"/>
      <c r="F256" s="3" t="s">
        <v>254</v>
      </c>
      <c r="G256" s="213">
        <f t="shared" si="16"/>
        <v>3000</v>
      </c>
      <c r="H256" s="18">
        <f t="shared" si="16"/>
        <v>2288</v>
      </c>
      <c r="I256" s="219">
        <f t="shared" si="12"/>
        <v>76.266666666666666</v>
      </c>
    </row>
    <row r="257" spans="2:9" x14ac:dyDescent="0.2">
      <c r="B257" s="108">
        <f t="shared" ref="B257:B307" si="17">B256+1</f>
        <v>252</v>
      </c>
      <c r="C257" s="12"/>
      <c r="D257" s="4"/>
      <c r="E257" s="13">
        <v>223001</v>
      </c>
      <c r="F257" s="4" t="s">
        <v>255</v>
      </c>
      <c r="G257" s="214">
        <v>3000</v>
      </c>
      <c r="H257" s="20">
        <v>2288</v>
      </c>
      <c r="I257" s="219">
        <f t="shared" si="12"/>
        <v>76.266666666666666</v>
      </c>
    </row>
    <row r="258" spans="2:9" x14ac:dyDescent="0.2">
      <c r="B258" s="108">
        <f t="shared" si="17"/>
        <v>253</v>
      </c>
      <c r="C258" s="66"/>
      <c r="D258" s="63"/>
      <c r="E258" s="67"/>
      <c r="F258" s="5" t="s">
        <v>63</v>
      </c>
      <c r="G258" s="237">
        <f>G259+G262</f>
        <v>11400</v>
      </c>
      <c r="H258" s="251">
        <f>H259+H262</f>
        <v>9162</v>
      </c>
      <c r="I258" s="219">
        <f t="shared" si="12"/>
        <v>80.368421052631575</v>
      </c>
    </row>
    <row r="259" spans="2:9" x14ac:dyDescent="0.2">
      <c r="B259" s="108">
        <f t="shared" si="17"/>
        <v>254</v>
      </c>
      <c r="C259" s="68">
        <v>210</v>
      </c>
      <c r="D259" s="64"/>
      <c r="E259" s="69"/>
      <c r="F259" s="2" t="s">
        <v>250</v>
      </c>
      <c r="G259" s="238">
        <f>G260</f>
        <v>3600</v>
      </c>
      <c r="H259" s="17">
        <f>H260</f>
        <v>3600</v>
      </c>
      <c r="I259" s="219">
        <f t="shared" si="12"/>
        <v>100</v>
      </c>
    </row>
    <row r="260" spans="2:9" x14ac:dyDescent="0.2">
      <c r="B260" s="108">
        <f t="shared" si="17"/>
        <v>255</v>
      </c>
      <c r="C260" s="70"/>
      <c r="D260" s="65">
        <v>212</v>
      </c>
      <c r="E260" s="71"/>
      <c r="F260" s="3" t="s">
        <v>251</v>
      </c>
      <c r="G260" s="213">
        <f>G261</f>
        <v>3600</v>
      </c>
      <c r="H260" s="18">
        <f>H261</f>
        <v>3600</v>
      </c>
      <c r="I260" s="219">
        <f t="shared" si="12"/>
        <v>100</v>
      </c>
    </row>
    <row r="261" spans="2:9" x14ac:dyDescent="0.2">
      <c r="B261" s="108">
        <f t="shared" si="17"/>
        <v>256</v>
      </c>
      <c r="C261" s="12"/>
      <c r="D261" s="4"/>
      <c r="E261" s="13">
        <v>212003</v>
      </c>
      <c r="F261" s="4" t="s">
        <v>252</v>
      </c>
      <c r="G261" s="214">
        <v>3600</v>
      </c>
      <c r="H261" s="20">
        <v>3600</v>
      </c>
      <c r="I261" s="219">
        <f t="shared" si="12"/>
        <v>100</v>
      </c>
    </row>
    <row r="262" spans="2:9" x14ac:dyDescent="0.2">
      <c r="B262" s="108">
        <f t="shared" si="17"/>
        <v>257</v>
      </c>
      <c r="C262" s="68">
        <v>220</v>
      </c>
      <c r="D262" s="64"/>
      <c r="E262" s="69"/>
      <c r="F262" s="2" t="s">
        <v>225</v>
      </c>
      <c r="G262" s="238">
        <f>G263</f>
        <v>7800</v>
      </c>
      <c r="H262" s="17">
        <f>H263</f>
        <v>5562</v>
      </c>
      <c r="I262" s="219">
        <f t="shared" si="12"/>
        <v>71.307692307692307</v>
      </c>
    </row>
    <row r="263" spans="2:9" x14ac:dyDescent="0.2">
      <c r="B263" s="108">
        <f t="shared" si="17"/>
        <v>258</v>
      </c>
      <c r="C263" s="70"/>
      <c r="D263" s="65">
        <v>223</v>
      </c>
      <c r="E263" s="71"/>
      <c r="F263" s="3" t="s">
        <v>254</v>
      </c>
      <c r="G263" s="213">
        <f>G264</f>
        <v>7800</v>
      </c>
      <c r="H263" s="18">
        <f>H264</f>
        <v>5562</v>
      </c>
      <c r="I263" s="219">
        <f t="shared" si="12"/>
        <v>71.307692307692307</v>
      </c>
    </row>
    <row r="264" spans="2:9" x14ac:dyDescent="0.2">
      <c r="B264" s="108">
        <f t="shared" si="17"/>
        <v>259</v>
      </c>
      <c r="C264" s="12"/>
      <c r="D264" s="4"/>
      <c r="E264" s="13">
        <v>223001</v>
      </c>
      <c r="F264" s="4" t="s">
        <v>255</v>
      </c>
      <c r="G264" s="214">
        <v>7800</v>
      </c>
      <c r="H264" s="20">
        <v>5562</v>
      </c>
      <c r="I264" s="219">
        <f t="shared" si="12"/>
        <v>71.307692307692307</v>
      </c>
    </row>
    <row r="265" spans="2:9" x14ac:dyDescent="0.2">
      <c r="B265" s="108">
        <f t="shared" si="17"/>
        <v>260</v>
      </c>
      <c r="C265" s="66"/>
      <c r="D265" s="63"/>
      <c r="E265" s="67"/>
      <c r="F265" s="5" t="s">
        <v>66</v>
      </c>
      <c r="G265" s="237">
        <f>G269+G266</f>
        <v>158500</v>
      </c>
      <c r="H265" s="251">
        <f>H269+H266</f>
        <v>180082</v>
      </c>
      <c r="I265" s="219">
        <f t="shared" si="12"/>
        <v>113.61640378548896</v>
      </c>
    </row>
    <row r="266" spans="2:9" x14ac:dyDescent="0.2">
      <c r="B266" s="108">
        <f t="shared" si="17"/>
        <v>261</v>
      </c>
      <c r="C266" s="68">
        <v>210</v>
      </c>
      <c r="D266" s="64"/>
      <c r="E266" s="69"/>
      <c r="F266" s="2" t="s">
        <v>250</v>
      </c>
      <c r="G266" s="238">
        <f>G267</f>
        <v>500</v>
      </c>
      <c r="H266" s="17">
        <f>H267</f>
        <v>60</v>
      </c>
      <c r="I266" s="219">
        <f t="shared" si="12"/>
        <v>12</v>
      </c>
    </row>
    <row r="267" spans="2:9" x14ac:dyDescent="0.2">
      <c r="B267" s="108">
        <f t="shared" si="17"/>
        <v>262</v>
      </c>
      <c r="C267" s="70"/>
      <c r="D267" s="65">
        <v>212</v>
      </c>
      <c r="E267" s="71"/>
      <c r="F267" s="3" t="s">
        <v>251</v>
      </c>
      <c r="G267" s="213">
        <f>G268</f>
        <v>500</v>
      </c>
      <c r="H267" s="18">
        <f>H268</f>
        <v>60</v>
      </c>
      <c r="I267" s="219">
        <f t="shared" si="12"/>
        <v>12</v>
      </c>
    </row>
    <row r="268" spans="2:9" x14ac:dyDescent="0.2">
      <c r="B268" s="108">
        <f t="shared" si="17"/>
        <v>263</v>
      </c>
      <c r="C268" s="12"/>
      <c r="D268" s="4"/>
      <c r="E268" s="13">
        <v>212003</v>
      </c>
      <c r="F268" s="4" t="s">
        <v>252</v>
      </c>
      <c r="G268" s="214">
        <v>500</v>
      </c>
      <c r="H268" s="20">
        <v>60</v>
      </c>
      <c r="I268" s="219">
        <f t="shared" si="12"/>
        <v>12</v>
      </c>
    </row>
    <row r="269" spans="2:9" x14ac:dyDescent="0.2">
      <c r="B269" s="108">
        <f t="shared" si="17"/>
        <v>264</v>
      </c>
      <c r="C269" s="68">
        <v>220</v>
      </c>
      <c r="D269" s="64"/>
      <c r="E269" s="69"/>
      <c r="F269" s="2" t="s">
        <v>225</v>
      </c>
      <c r="G269" s="238">
        <f>G270</f>
        <v>158000</v>
      </c>
      <c r="H269" s="17">
        <f>H270</f>
        <v>180022</v>
      </c>
      <c r="I269" s="219">
        <f t="shared" si="12"/>
        <v>113.9379746835443</v>
      </c>
    </row>
    <row r="270" spans="2:9" x14ac:dyDescent="0.2">
      <c r="B270" s="108">
        <f t="shared" si="17"/>
        <v>265</v>
      </c>
      <c r="C270" s="70"/>
      <c r="D270" s="65">
        <v>223</v>
      </c>
      <c r="E270" s="71"/>
      <c r="F270" s="3" t="s">
        <v>254</v>
      </c>
      <c r="G270" s="213">
        <f>G271+G272</f>
        <v>158000</v>
      </c>
      <c r="H270" s="18">
        <f>H271+H272</f>
        <v>180022</v>
      </c>
      <c r="I270" s="219">
        <f t="shared" si="12"/>
        <v>113.9379746835443</v>
      </c>
    </row>
    <row r="271" spans="2:9" x14ac:dyDescent="0.2">
      <c r="B271" s="108">
        <f t="shared" si="17"/>
        <v>266</v>
      </c>
      <c r="C271" s="12"/>
      <c r="D271" s="4"/>
      <c r="E271" s="13">
        <v>223001</v>
      </c>
      <c r="F271" s="4" t="s">
        <v>307</v>
      </c>
      <c r="G271" s="214">
        <v>108000</v>
      </c>
      <c r="H271" s="20">
        <v>125482</v>
      </c>
      <c r="I271" s="219">
        <f t="shared" si="12"/>
        <v>116.18703703703703</v>
      </c>
    </row>
    <row r="272" spans="2:9" x14ac:dyDescent="0.2">
      <c r="B272" s="108">
        <f t="shared" si="17"/>
        <v>267</v>
      </c>
      <c r="C272" s="12"/>
      <c r="D272" s="4"/>
      <c r="E272" s="13">
        <v>223001</v>
      </c>
      <c r="F272" s="4" t="s">
        <v>308</v>
      </c>
      <c r="G272" s="214">
        <v>50000</v>
      </c>
      <c r="H272" s="20">
        <v>54540</v>
      </c>
      <c r="I272" s="219">
        <f t="shared" si="12"/>
        <v>109.08</v>
      </c>
    </row>
    <row r="273" spans="2:9" x14ac:dyDescent="0.2">
      <c r="B273" s="108">
        <f t="shared" si="17"/>
        <v>268</v>
      </c>
      <c r="C273" s="66"/>
      <c r="D273" s="63"/>
      <c r="E273" s="67"/>
      <c r="F273" s="5" t="s">
        <v>310</v>
      </c>
      <c r="G273" s="237">
        <f>G277+G274</f>
        <v>196900</v>
      </c>
      <c r="H273" s="251">
        <f>H277+H274</f>
        <v>209797</v>
      </c>
      <c r="I273" s="219">
        <f t="shared" si="12"/>
        <v>106.55002539360081</v>
      </c>
    </row>
    <row r="274" spans="2:9" x14ac:dyDescent="0.2">
      <c r="B274" s="108">
        <f t="shared" si="17"/>
        <v>269</v>
      </c>
      <c r="C274" s="68">
        <v>210</v>
      </c>
      <c r="D274" s="64"/>
      <c r="E274" s="69"/>
      <c r="F274" s="2" t="s">
        <v>250</v>
      </c>
      <c r="G274" s="238">
        <f>G275</f>
        <v>400</v>
      </c>
      <c r="H274" s="17">
        <f>H275</f>
        <v>366</v>
      </c>
      <c r="I274" s="219">
        <f t="shared" si="12"/>
        <v>91.5</v>
      </c>
    </row>
    <row r="275" spans="2:9" x14ac:dyDescent="0.2">
      <c r="B275" s="108">
        <f t="shared" si="17"/>
        <v>270</v>
      </c>
      <c r="C275" s="70"/>
      <c r="D275" s="65">
        <v>212</v>
      </c>
      <c r="E275" s="71"/>
      <c r="F275" s="3" t="s">
        <v>251</v>
      </c>
      <c r="G275" s="213">
        <f>G276</f>
        <v>400</v>
      </c>
      <c r="H275" s="18">
        <f>H276</f>
        <v>366</v>
      </c>
      <c r="I275" s="219">
        <f t="shared" si="12"/>
        <v>91.5</v>
      </c>
    </row>
    <row r="276" spans="2:9" x14ac:dyDescent="0.2">
      <c r="B276" s="108">
        <f t="shared" si="17"/>
        <v>271</v>
      </c>
      <c r="C276" s="12"/>
      <c r="D276" s="4"/>
      <c r="E276" s="13">
        <v>212003</v>
      </c>
      <c r="F276" s="4" t="s">
        <v>252</v>
      </c>
      <c r="G276" s="214">
        <v>400</v>
      </c>
      <c r="H276" s="20">
        <v>366</v>
      </c>
      <c r="I276" s="219">
        <f t="shared" si="12"/>
        <v>91.5</v>
      </c>
    </row>
    <row r="277" spans="2:9" x14ac:dyDescent="0.2">
      <c r="B277" s="108">
        <f t="shared" si="17"/>
        <v>272</v>
      </c>
      <c r="C277" s="68">
        <v>220</v>
      </c>
      <c r="D277" s="64"/>
      <c r="E277" s="69"/>
      <c r="F277" s="2" t="s">
        <v>225</v>
      </c>
      <c r="G277" s="238">
        <f>G278</f>
        <v>196500</v>
      </c>
      <c r="H277" s="17">
        <f>H278</f>
        <v>209431</v>
      </c>
      <c r="I277" s="219">
        <f t="shared" ref="I277:I341" si="18">H277/G277*100</f>
        <v>106.58066157760815</v>
      </c>
    </row>
    <row r="278" spans="2:9" x14ac:dyDescent="0.2">
      <c r="B278" s="108">
        <f t="shared" si="17"/>
        <v>273</v>
      </c>
      <c r="C278" s="70"/>
      <c r="D278" s="65">
        <v>223</v>
      </c>
      <c r="E278" s="71"/>
      <c r="F278" s="3" t="s">
        <v>254</v>
      </c>
      <c r="G278" s="213">
        <f>G279+G280+G281</f>
        <v>196500</v>
      </c>
      <c r="H278" s="18">
        <f>H279+H280+H281</f>
        <v>209431</v>
      </c>
      <c r="I278" s="219">
        <f t="shared" si="18"/>
        <v>106.58066157760815</v>
      </c>
    </row>
    <row r="279" spans="2:9" x14ac:dyDescent="0.2">
      <c r="B279" s="108">
        <f t="shared" si="17"/>
        <v>274</v>
      </c>
      <c r="C279" s="12"/>
      <c r="D279" s="4"/>
      <c r="E279" s="13">
        <v>223001</v>
      </c>
      <c r="F279" s="4" t="s">
        <v>307</v>
      </c>
      <c r="G279" s="214">
        <v>45000</v>
      </c>
      <c r="H279" s="20">
        <v>49595</v>
      </c>
      <c r="I279" s="219">
        <f t="shared" si="18"/>
        <v>110.21111111111111</v>
      </c>
    </row>
    <row r="280" spans="2:9" x14ac:dyDescent="0.2">
      <c r="B280" s="108">
        <f t="shared" si="17"/>
        <v>275</v>
      </c>
      <c r="C280" s="12"/>
      <c r="D280" s="4"/>
      <c r="E280" s="13">
        <v>223001</v>
      </c>
      <c r="F280" s="4" t="s">
        <v>309</v>
      </c>
      <c r="G280" s="214">
        <v>53500</v>
      </c>
      <c r="H280" s="20">
        <v>56442</v>
      </c>
      <c r="I280" s="219">
        <f t="shared" si="18"/>
        <v>105.49906542056075</v>
      </c>
    </row>
    <row r="281" spans="2:9" x14ac:dyDescent="0.2">
      <c r="B281" s="108">
        <f t="shared" si="17"/>
        <v>276</v>
      </c>
      <c r="C281" s="12"/>
      <c r="D281" s="4"/>
      <c r="E281" s="13">
        <v>223001</v>
      </c>
      <c r="F281" s="4" t="s">
        <v>308</v>
      </c>
      <c r="G281" s="214">
        <v>98000</v>
      </c>
      <c r="H281" s="20">
        <v>103394</v>
      </c>
      <c r="I281" s="219">
        <f t="shared" si="18"/>
        <v>105.50408163265305</v>
      </c>
    </row>
    <row r="282" spans="2:9" x14ac:dyDescent="0.2">
      <c r="B282" s="108">
        <f t="shared" si="17"/>
        <v>277</v>
      </c>
      <c r="C282" s="66"/>
      <c r="D282" s="63"/>
      <c r="E282" s="67"/>
      <c r="F282" s="5" t="s">
        <v>311</v>
      </c>
      <c r="G282" s="237">
        <f>G283</f>
        <v>11000</v>
      </c>
      <c r="H282" s="251">
        <f>H283</f>
        <v>540</v>
      </c>
      <c r="I282" s="219">
        <f t="shared" si="18"/>
        <v>4.9090909090909092</v>
      </c>
    </row>
    <row r="283" spans="2:9" x14ac:dyDescent="0.2">
      <c r="B283" s="108">
        <f t="shared" si="17"/>
        <v>278</v>
      </c>
      <c r="C283" s="68">
        <v>220</v>
      </c>
      <c r="D283" s="64"/>
      <c r="E283" s="69"/>
      <c r="F283" s="2" t="s">
        <v>225</v>
      </c>
      <c r="G283" s="238">
        <f>G284</f>
        <v>11000</v>
      </c>
      <c r="H283" s="17">
        <f>H284</f>
        <v>540</v>
      </c>
      <c r="I283" s="219">
        <f t="shared" si="18"/>
        <v>4.9090909090909092</v>
      </c>
    </row>
    <row r="284" spans="2:9" x14ac:dyDescent="0.2">
      <c r="B284" s="108">
        <f t="shared" si="17"/>
        <v>279</v>
      </c>
      <c r="C284" s="70"/>
      <c r="D284" s="65">
        <v>223</v>
      </c>
      <c r="E284" s="71"/>
      <c r="F284" s="3" t="s">
        <v>254</v>
      </c>
      <c r="G284" s="213">
        <f>G285+G286+G287</f>
        <v>11000</v>
      </c>
      <c r="H284" s="18">
        <f>H285+H286+H287</f>
        <v>540</v>
      </c>
      <c r="I284" s="219">
        <f t="shared" si="18"/>
        <v>4.9090909090909092</v>
      </c>
    </row>
    <row r="285" spans="2:9" x14ac:dyDescent="0.2">
      <c r="B285" s="108">
        <f t="shared" si="17"/>
        <v>280</v>
      </c>
      <c r="C285" s="12"/>
      <c r="D285" s="4"/>
      <c r="E285" s="13">
        <v>223001</v>
      </c>
      <c r="F285" s="4" t="s">
        <v>307</v>
      </c>
      <c r="G285" s="214">
        <v>2500</v>
      </c>
      <c r="H285" s="20">
        <v>133</v>
      </c>
      <c r="I285" s="219">
        <f t="shared" si="18"/>
        <v>5.3199999999999994</v>
      </c>
    </row>
    <row r="286" spans="2:9" x14ac:dyDescent="0.2">
      <c r="B286" s="108">
        <f t="shared" si="17"/>
        <v>281</v>
      </c>
      <c r="C286" s="12"/>
      <c r="D286" s="4"/>
      <c r="E286" s="13">
        <v>223001</v>
      </c>
      <c r="F286" s="4" t="s">
        <v>309</v>
      </c>
      <c r="G286" s="214">
        <v>4900</v>
      </c>
      <c r="H286" s="20">
        <v>116</v>
      </c>
      <c r="I286" s="219">
        <f t="shared" si="18"/>
        <v>2.3673469387755102</v>
      </c>
    </row>
    <row r="287" spans="2:9" x14ac:dyDescent="0.2">
      <c r="B287" s="108">
        <f t="shared" si="17"/>
        <v>282</v>
      </c>
      <c r="C287" s="12"/>
      <c r="D287" s="4"/>
      <c r="E287" s="13">
        <v>223001</v>
      </c>
      <c r="F287" s="4" t="s">
        <v>308</v>
      </c>
      <c r="G287" s="214">
        <v>3600</v>
      </c>
      <c r="H287" s="20">
        <v>291</v>
      </c>
      <c r="I287" s="219">
        <f t="shared" si="18"/>
        <v>8.0833333333333321</v>
      </c>
    </row>
    <row r="288" spans="2:9" x14ac:dyDescent="0.2">
      <c r="B288" s="108">
        <f t="shared" si="17"/>
        <v>283</v>
      </c>
      <c r="C288" s="66"/>
      <c r="D288" s="63"/>
      <c r="E288" s="67"/>
      <c r="F288" s="5" t="s">
        <v>312</v>
      </c>
      <c r="G288" s="237">
        <f>G289</f>
        <v>141500</v>
      </c>
      <c r="H288" s="251">
        <f>H289</f>
        <v>151314</v>
      </c>
      <c r="I288" s="219">
        <f t="shared" si="18"/>
        <v>106.9356890459364</v>
      </c>
    </row>
    <row r="289" spans="2:9" x14ac:dyDescent="0.2">
      <c r="B289" s="108">
        <f t="shared" si="17"/>
        <v>284</v>
      </c>
      <c r="C289" s="68">
        <v>220</v>
      </c>
      <c r="D289" s="64"/>
      <c r="E289" s="69"/>
      <c r="F289" s="2" t="s">
        <v>225</v>
      </c>
      <c r="G289" s="238">
        <f>G290</f>
        <v>141500</v>
      </c>
      <c r="H289" s="17">
        <f>H290</f>
        <v>151314</v>
      </c>
      <c r="I289" s="219">
        <f t="shared" si="18"/>
        <v>106.9356890459364</v>
      </c>
    </row>
    <row r="290" spans="2:9" x14ac:dyDescent="0.2">
      <c r="B290" s="108">
        <f t="shared" si="17"/>
        <v>285</v>
      </c>
      <c r="C290" s="70"/>
      <c r="D290" s="65">
        <v>223</v>
      </c>
      <c r="E290" s="71"/>
      <c r="F290" s="3" t="s">
        <v>254</v>
      </c>
      <c r="G290" s="213">
        <f>G291+G292+G293</f>
        <v>141500</v>
      </c>
      <c r="H290" s="18">
        <f>H291+H292+H293</f>
        <v>151314</v>
      </c>
      <c r="I290" s="219">
        <f t="shared" si="18"/>
        <v>106.9356890459364</v>
      </c>
    </row>
    <row r="291" spans="2:9" x14ac:dyDescent="0.2">
      <c r="B291" s="108">
        <f t="shared" si="17"/>
        <v>286</v>
      </c>
      <c r="C291" s="12"/>
      <c r="D291" s="4"/>
      <c r="E291" s="13">
        <v>223001</v>
      </c>
      <c r="F291" s="4" t="s">
        <v>307</v>
      </c>
      <c r="G291" s="214">
        <v>104000</v>
      </c>
      <c r="H291" s="20">
        <v>104150</v>
      </c>
      <c r="I291" s="219">
        <f t="shared" si="18"/>
        <v>100.14423076923077</v>
      </c>
    </row>
    <row r="292" spans="2:9" x14ac:dyDescent="0.2">
      <c r="B292" s="108">
        <f t="shared" si="17"/>
        <v>287</v>
      </c>
      <c r="C292" s="12"/>
      <c r="D292" s="4"/>
      <c r="E292" s="13">
        <v>223001</v>
      </c>
      <c r="F292" s="4" t="s">
        <v>309</v>
      </c>
      <c r="G292" s="214">
        <v>10500</v>
      </c>
      <c r="H292" s="20">
        <v>35757</v>
      </c>
      <c r="I292" s="219">
        <f t="shared" si="18"/>
        <v>340.54285714285714</v>
      </c>
    </row>
    <row r="293" spans="2:9" x14ac:dyDescent="0.2">
      <c r="B293" s="108">
        <f t="shared" si="17"/>
        <v>288</v>
      </c>
      <c r="C293" s="12"/>
      <c r="D293" s="4"/>
      <c r="E293" s="13">
        <v>223001</v>
      </c>
      <c r="F293" s="4" t="s">
        <v>308</v>
      </c>
      <c r="G293" s="214">
        <v>27000</v>
      </c>
      <c r="H293" s="20">
        <v>11407</v>
      </c>
      <c r="I293" s="219">
        <f t="shared" si="18"/>
        <v>42.248148148148147</v>
      </c>
    </row>
    <row r="294" spans="2:9" x14ac:dyDescent="0.2">
      <c r="B294" s="108">
        <f t="shared" si="17"/>
        <v>289</v>
      </c>
      <c r="C294" s="66"/>
      <c r="D294" s="63"/>
      <c r="E294" s="67"/>
      <c r="F294" s="5" t="s">
        <v>315</v>
      </c>
      <c r="G294" s="237">
        <f>G295</f>
        <v>88500</v>
      </c>
      <c r="H294" s="251">
        <f>H295</f>
        <v>119489</v>
      </c>
      <c r="I294" s="219">
        <f t="shared" si="18"/>
        <v>135.01581920903956</v>
      </c>
    </row>
    <row r="295" spans="2:9" x14ac:dyDescent="0.2">
      <c r="B295" s="108">
        <f t="shared" si="17"/>
        <v>290</v>
      </c>
      <c r="C295" s="68">
        <v>220</v>
      </c>
      <c r="D295" s="64"/>
      <c r="E295" s="69"/>
      <c r="F295" s="2" t="s">
        <v>225</v>
      </c>
      <c r="G295" s="238">
        <f>G296</f>
        <v>88500</v>
      </c>
      <c r="H295" s="17">
        <f>H296</f>
        <v>119489</v>
      </c>
      <c r="I295" s="219">
        <f t="shared" si="18"/>
        <v>135.01581920903956</v>
      </c>
    </row>
    <row r="296" spans="2:9" x14ac:dyDescent="0.2">
      <c r="B296" s="108">
        <f t="shared" si="17"/>
        <v>291</v>
      </c>
      <c r="C296" s="70"/>
      <c r="D296" s="65">
        <v>223</v>
      </c>
      <c r="E296" s="71"/>
      <c r="F296" s="3" t="s">
        <v>254</v>
      </c>
      <c r="G296" s="213">
        <f>G297+G298</f>
        <v>88500</v>
      </c>
      <c r="H296" s="18">
        <f>H297+H298</f>
        <v>119489</v>
      </c>
      <c r="I296" s="219">
        <f t="shared" si="18"/>
        <v>135.01581920903956</v>
      </c>
    </row>
    <row r="297" spans="2:9" x14ac:dyDescent="0.2">
      <c r="B297" s="108">
        <f t="shared" si="17"/>
        <v>292</v>
      </c>
      <c r="C297" s="12"/>
      <c r="D297" s="4"/>
      <c r="E297" s="13">
        <v>223001</v>
      </c>
      <c r="F297" s="4" t="s">
        <v>313</v>
      </c>
      <c r="G297" s="214">
        <v>83000</v>
      </c>
      <c r="H297" s="20">
        <v>115697</v>
      </c>
      <c r="I297" s="219">
        <f t="shared" si="18"/>
        <v>139.39397590361446</v>
      </c>
    </row>
    <row r="298" spans="2:9" x14ac:dyDescent="0.2">
      <c r="B298" s="108">
        <f t="shared" si="17"/>
        <v>293</v>
      </c>
      <c r="C298" s="12"/>
      <c r="D298" s="4"/>
      <c r="E298" s="13">
        <v>223001</v>
      </c>
      <c r="F298" s="4" t="s">
        <v>314</v>
      </c>
      <c r="G298" s="214">
        <v>5500</v>
      </c>
      <c r="H298" s="20">
        <v>3792</v>
      </c>
      <c r="I298" s="219">
        <f t="shared" si="18"/>
        <v>68.945454545454538</v>
      </c>
    </row>
    <row r="299" spans="2:9" x14ac:dyDescent="0.2">
      <c r="B299" s="108">
        <f t="shared" si="17"/>
        <v>294</v>
      </c>
      <c r="C299" s="66"/>
      <c r="D299" s="63"/>
      <c r="E299" s="67"/>
      <c r="F299" s="5" t="s">
        <v>46</v>
      </c>
      <c r="G299" s="237">
        <f t="shared" ref="G299:H301" si="19">G300</f>
        <v>11400</v>
      </c>
      <c r="H299" s="251">
        <f t="shared" si="19"/>
        <v>11697</v>
      </c>
      <c r="I299" s="219">
        <f t="shared" si="18"/>
        <v>102.60526315789474</v>
      </c>
    </row>
    <row r="300" spans="2:9" x14ac:dyDescent="0.2">
      <c r="B300" s="108">
        <f t="shared" si="17"/>
        <v>295</v>
      </c>
      <c r="C300" s="68">
        <v>220</v>
      </c>
      <c r="D300" s="64"/>
      <c r="E300" s="69"/>
      <c r="F300" s="2" t="s">
        <v>225</v>
      </c>
      <c r="G300" s="238">
        <f t="shared" si="19"/>
        <v>11400</v>
      </c>
      <c r="H300" s="17">
        <f t="shared" si="19"/>
        <v>11697</v>
      </c>
      <c r="I300" s="219">
        <f t="shared" si="18"/>
        <v>102.60526315789474</v>
      </c>
    </row>
    <row r="301" spans="2:9" x14ac:dyDescent="0.2">
      <c r="B301" s="108">
        <f t="shared" si="17"/>
        <v>296</v>
      </c>
      <c r="C301" s="70"/>
      <c r="D301" s="65">
        <v>223</v>
      </c>
      <c r="E301" s="71"/>
      <c r="F301" s="3" t="s">
        <v>254</v>
      </c>
      <c r="G301" s="213">
        <f t="shared" si="19"/>
        <v>11400</v>
      </c>
      <c r="H301" s="18">
        <f t="shared" si="19"/>
        <v>11697</v>
      </c>
      <c r="I301" s="219">
        <f t="shared" si="18"/>
        <v>102.60526315789474</v>
      </c>
    </row>
    <row r="302" spans="2:9" ht="13.5" thickBot="1" x14ac:dyDescent="0.25">
      <c r="B302" s="108">
        <f t="shared" si="17"/>
        <v>297</v>
      </c>
      <c r="C302" s="12"/>
      <c r="D302" s="129"/>
      <c r="E302" s="13">
        <v>223001</v>
      </c>
      <c r="F302" s="4" t="s">
        <v>255</v>
      </c>
      <c r="G302" s="214">
        <v>11400</v>
      </c>
      <c r="H302" s="20">
        <v>11697</v>
      </c>
      <c r="I302" s="219">
        <f t="shared" si="18"/>
        <v>102.60526315789474</v>
      </c>
    </row>
    <row r="303" spans="2:9" ht="15.75" thickBot="1" x14ac:dyDescent="0.3">
      <c r="B303" s="108">
        <f t="shared" si="17"/>
        <v>298</v>
      </c>
      <c r="C303" s="72">
        <v>6</v>
      </c>
      <c r="D303" s="141"/>
      <c r="E303" s="73"/>
      <c r="F303" s="9" t="s">
        <v>12</v>
      </c>
      <c r="G303" s="236">
        <f>G315+G312+G307+G304</f>
        <v>107844</v>
      </c>
      <c r="H303" s="250">
        <f>H315+H312+H307+H304</f>
        <v>118571</v>
      </c>
      <c r="I303" s="219">
        <f t="shared" si="18"/>
        <v>109.94677497125478</v>
      </c>
    </row>
    <row r="304" spans="2:9" x14ac:dyDescent="0.2">
      <c r="B304" s="108">
        <f t="shared" si="17"/>
        <v>299</v>
      </c>
      <c r="C304" s="66">
        <v>210</v>
      </c>
      <c r="D304" s="140"/>
      <c r="E304" s="67"/>
      <c r="F304" s="5" t="s">
        <v>250</v>
      </c>
      <c r="G304" s="237">
        <f>G305</f>
        <v>1350</v>
      </c>
      <c r="H304" s="251">
        <f>H305</f>
        <v>1328</v>
      </c>
      <c r="I304" s="219">
        <f t="shared" si="18"/>
        <v>98.370370370370381</v>
      </c>
    </row>
    <row r="305" spans="2:9" x14ac:dyDescent="0.2">
      <c r="B305" s="108">
        <f t="shared" si="17"/>
        <v>300</v>
      </c>
      <c r="C305" s="68"/>
      <c r="D305" s="64">
        <v>212</v>
      </c>
      <c r="E305" s="69"/>
      <c r="F305" s="2" t="s">
        <v>251</v>
      </c>
      <c r="G305" s="238">
        <f>G306</f>
        <v>1350</v>
      </c>
      <c r="H305" s="17">
        <f>H306</f>
        <v>1328</v>
      </c>
      <c r="I305" s="219">
        <f t="shared" si="18"/>
        <v>98.370370370370381</v>
      </c>
    </row>
    <row r="306" spans="2:9" x14ac:dyDescent="0.2">
      <c r="B306" s="108">
        <f t="shared" si="17"/>
        <v>301</v>
      </c>
      <c r="C306" s="70"/>
      <c r="D306" s="65"/>
      <c r="E306" s="71">
        <v>212003</v>
      </c>
      <c r="F306" s="3" t="s">
        <v>252</v>
      </c>
      <c r="G306" s="213">
        <v>1350</v>
      </c>
      <c r="H306" s="18">
        <v>1328</v>
      </c>
      <c r="I306" s="219">
        <f t="shared" si="18"/>
        <v>98.370370370370381</v>
      </c>
    </row>
    <row r="307" spans="2:9" x14ac:dyDescent="0.2">
      <c r="B307" s="108">
        <f t="shared" si="17"/>
        <v>302</v>
      </c>
      <c r="C307" s="66">
        <v>220</v>
      </c>
      <c r="D307" s="63"/>
      <c r="E307" s="67"/>
      <c r="F307" s="5" t="s">
        <v>225</v>
      </c>
      <c r="G307" s="237">
        <f>G308</f>
        <v>104645</v>
      </c>
      <c r="H307" s="251">
        <f>H308</f>
        <v>115316</v>
      </c>
      <c r="I307" s="219">
        <f t="shared" si="18"/>
        <v>110.19733384299298</v>
      </c>
    </row>
    <row r="308" spans="2:9" x14ac:dyDescent="0.2">
      <c r="B308" s="108">
        <f t="shared" ref="B308:B381" si="20">B307+1</f>
        <v>303</v>
      </c>
      <c r="C308" s="68"/>
      <c r="D308" s="64">
        <v>223</v>
      </c>
      <c r="E308" s="69"/>
      <c r="F308" s="2" t="s">
        <v>254</v>
      </c>
      <c r="G308" s="238">
        <f>G311+G310+G309</f>
        <v>104645</v>
      </c>
      <c r="H308" s="17">
        <f>H311+H310+H309</f>
        <v>115316</v>
      </c>
      <c r="I308" s="219">
        <f t="shared" si="18"/>
        <v>110.19733384299298</v>
      </c>
    </row>
    <row r="309" spans="2:9" x14ac:dyDescent="0.2">
      <c r="B309" s="108">
        <f t="shared" si="20"/>
        <v>304</v>
      </c>
      <c r="C309" s="70"/>
      <c r="D309" s="65"/>
      <c r="E309" s="71">
        <v>223001</v>
      </c>
      <c r="F309" s="3" t="s">
        <v>255</v>
      </c>
      <c r="G309" s="213">
        <f>7700+3300</f>
        <v>11000</v>
      </c>
      <c r="H309" s="18">
        <v>11690</v>
      </c>
      <c r="I309" s="219">
        <f t="shared" si="18"/>
        <v>106.27272727272728</v>
      </c>
    </row>
    <row r="310" spans="2:9" x14ac:dyDescent="0.2">
      <c r="B310" s="108">
        <f t="shared" si="20"/>
        <v>305</v>
      </c>
      <c r="C310" s="70"/>
      <c r="D310" s="65"/>
      <c r="E310" s="71">
        <v>223002</v>
      </c>
      <c r="F310" s="3" t="s">
        <v>76</v>
      </c>
      <c r="G310" s="213">
        <f>12000+1000</f>
        <v>13000</v>
      </c>
      <c r="H310" s="18">
        <v>13110</v>
      </c>
      <c r="I310" s="219">
        <f t="shared" si="18"/>
        <v>100.84615384615385</v>
      </c>
    </row>
    <row r="311" spans="2:9" x14ac:dyDescent="0.2">
      <c r="B311" s="108">
        <f t="shared" si="20"/>
        <v>306</v>
      </c>
      <c r="C311" s="70"/>
      <c r="D311" s="65"/>
      <c r="E311" s="71">
        <v>223003</v>
      </c>
      <c r="F311" s="50" t="s">
        <v>77</v>
      </c>
      <c r="G311" s="213">
        <v>80645</v>
      </c>
      <c r="H311" s="18">
        <v>90516</v>
      </c>
      <c r="I311" s="219">
        <f t="shared" si="18"/>
        <v>112.24006448012895</v>
      </c>
    </row>
    <row r="312" spans="2:9" x14ac:dyDescent="0.2">
      <c r="B312" s="108">
        <f t="shared" si="20"/>
        <v>307</v>
      </c>
      <c r="C312" s="66">
        <v>240</v>
      </c>
      <c r="D312" s="63"/>
      <c r="E312" s="67"/>
      <c r="F312" s="5" t="s">
        <v>179</v>
      </c>
      <c r="G312" s="237">
        <f>G313</f>
        <v>5</v>
      </c>
      <c r="H312" s="251">
        <f>H313</f>
        <v>0</v>
      </c>
      <c r="I312" s="219">
        <f t="shared" si="18"/>
        <v>0</v>
      </c>
    </row>
    <row r="313" spans="2:9" x14ac:dyDescent="0.2">
      <c r="B313" s="108">
        <f t="shared" si="20"/>
        <v>308</v>
      </c>
      <c r="C313" s="68"/>
      <c r="D313" s="64">
        <v>242</v>
      </c>
      <c r="E313" s="69"/>
      <c r="F313" s="2" t="s">
        <v>178</v>
      </c>
      <c r="G313" s="238">
        <f>G314</f>
        <v>5</v>
      </c>
      <c r="H313" s="17">
        <f>H314</f>
        <v>0</v>
      </c>
      <c r="I313" s="219">
        <f t="shared" si="18"/>
        <v>0</v>
      </c>
    </row>
    <row r="314" spans="2:9" x14ac:dyDescent="0.2">
      <c r="B314" s="108">
        <f t="shared" si="20"/>
        <v>309</v>
      </c>
      <c r="C314" s="70"/>
      <c r="D314" s="65"/>
      <c r="E314" s="71">
        <v>242</v>
      </c>
      <c r="F314" s="3" t="s">
        <v>178</v>
      </c>
      <c r="G314" s="213">
        <v>5</v>
      </c>
      <c r="H314" s="18">
        <v>0</v>
      </c>
      <c r="I314" s="219">
        <f t="shared" si="18"/>
        <v>0</v>
      </c>
    </row>
    <row r="315" spans="2:9" x14ac:dyDescent="0.2">
      <c r="B315" s="108">
        <f t="shared" si="20"/>
        <v>310</v>
      </c>
      <c r="C315" s="66">
        <v>290</v>
      </c>
      <c r="D315" s="63"/>
      <c r="E315" s="67"/>
      <c r="F315" s="5" t="s">
        <v>181</v>
      </c>
      <c r="G315" s="237">
        <f>G316</f>
        <v>1844</v>
      </c>
      <c r="H315" s="251">
        <f>H316</f>
        <v>1927</v>
      </c>
      <c r="I315" s="219">
        <f t="shared" si="18"/>
        <v>104.5010845986985</v>
      </c>
    </row>
    <row r="316" spans="2:9" x14ac:dyDescent="0.2">
      <c r="B316" s="108">
        <f t="shared" si="20"/>
        <v>311</v>
      </c>
      <c r="C316" s="68"/>
      <c r="D316" s="64">
        <v>292</v>
      </c>
      <c r="E316" s="69"/>
      <c r="F316" s="2" t="s">
        <v>182</v>
      </c>
      <c r="G316" s="238">
        <f>SUM(G317:G318)</f>
        <v>1844</v>
      </c>
      <c r="H316" s="17">
        <f>SUM(H317:H318)</f>
        <v>1927</v>
      </c>
      <c r="I316" s="219">
        <f t="shared" si="18"/>
        <v>104.5010845986985</v>
      </c>
    </row>
    <row r="317" spans="2:9" x14ac:dyDescent="0.2">
      <c r="B317" s="108">
        <f t="shared" si="20"/>
        <v>312</v>
      </c>
      <c r="C317" s="70"/>
      <c r="D317" s="65"/>
      <c r="E317" s="71">
        <v>292012</v>
      </c>
      <c r="F317" s="3" t="s">
        <v>236</v>
      </c>
      <c r="G317" s="213">
        <v>400</v>
      </c>
      <c r="H317" s="18">
        <v>484</v>
      </c>
      <c r="I317" s="219">
        <f t="shared" si="18"/>
        <v>121</v>
      </c>
    </row>
    <row r="318" spans="2:9" ht="13.5" thickBot="1" x14ac:dyDescent="0.25">
      <c r="B318" s="108">
        <f t="shared" si="20"/>
        <v>313</v>
      </c>
      <c r="C318" s="205"/>
      <c r="D318" s="207"/>
      <c r="E318" s="205">
        <v>292017</v>
      </c>
      <c r="F318" s="206" t="s">
        <v>237</v>
      </c>
      <c r="G318" s="241">
        <v>1444</v>
      </c>
      <c r="H318" s="254">
        <v>1443</v>
      </c>
      <c r="I318" s="219">
        <f t="shared" si="18"/>
        <v>99.930747922437675</v>
      </c>
    </row>
    <row r="319" spans="2:9" ht="15.75" thickBot="1" x14ac:dyDescent="0.3">
      <c r="B319" s="108">
        <f t="shared" si="20"/>
        <v>314</v>
      </c>
      <c r="C319" s="72">
        <v>7</v>
      </c>
      <c r="D319" s="141"/>
      <c r="E319" s="73"/>
      <c r="F319" s="9" t="s">
        <v>13</v>
      </c>
      <c r="G319" s="236">
        <f>G323+G320+G328</f>
        <v>115443</v>
      </c>
      <c r="H319" s="250">
        <f>H323+H320+H328</f>
        <v>150417</v>
      </c>
      <c r="I319" s="219">
        <f t="shared" si="18"/>
        <v>130.2954704919311</v>
      </c>
    </row>
    <row r="320" spans="2:9" x14ac:dyDescent="0.2">
      <c r="B320" s="108">
        <f t="shared" si="20"/>
        <v>315</v>
      </c>
      <c r="C320" s="66">
        <v>210</v>
      </c>
      <c r="D320" s="140"/>
      <c r="E320" s="67"/>
      <c r="F320" s="5" t="s">
        <v>250</v>
      </c>
      <c r="G320" s="237">
        <f>G321</f>
        <v>2000</v>
      </c>
      <c r="H320" s="251">
        <f>H321</f>
        <v>1365</v>
      </c>
      <c r="I320" s="219">
        <f t="shared" si="18"/>
        <v>68.25</v>
      </c>
    </row>
    <row r="321" spans="2:9" x14ac:dyDescent="0.2">
      <c r="B321" s="108">
        <f t="shared" si="20"/>
        <v>316</v>
      </c>
      <c r="C321" s="68"/>
      <c r="D321" s="64">
        <v>212</v>
      </c>
      <c r="E321" s="69"/>
      <c r="F321" s="2" t="s">
        <v>251</v>
      </c>
      <c r="G321" s="238">
        <f>G322</f>
        <v>2000</v>
      </c>
      <c r="H321" s="17">
        <f>H322</f>
        <v>1365</v>
      </c>
      <c r="I321" s="219">
        <f t="shared" si="18"/>
        <v>68.25</v>
      </c>
    </row>
    <row r="322" spans="2:9" x14ac:dyDescent="0.2">
      <c r="B322" s="108">
        <f t="shared" si="20"/>
        <v>317</v>
      </c>
      <c r="C322" s="70"/>
      <c r="D322" s="65"/>
      <c r="E322" s="71">
        <v>212003</v>
      </c>
      <c r="F322" s="3" t="s">
        <v>252</v>
      </c>
      <c r="G322" s="213">
        <v>2000</v>
      </c>
      <c r="H322" s="18">
        <v>1365</v>
      </c>
      <c r="I322" s="219">
        <f t="shared" si="18"/>
        <v>68.25</v>
      </c>
    </row>
    <row r="323" spans="2:9" x14ac:dyDescent="0.2">
      <c r="B323" s="108">
        <f t="shared" si="20"/>
        <v>318</v>
      </c>
      <c r="C323" s="66">
        <v>220</v>
      </c>
      <c r="D323" s="63"/>
      <c r="E323" s="67"/>
      <c r="F323" s="5" t="s">
        <v>225</v>
      </c>
      <c r="G323" s="237">
        <f>G324</f>
        <v>111800</v>
      </c>
      <c r="H323" s="251">
        <f>H324</f>
        <v>146691</v>
      </c>
      <c r="I323" s="219">
        <f t="shared" si="18"/>
        <v>131.20840787119857</v>
      </c>
    </row>
    <row r="324" spans="2:9" x14ac:dyDescent="0.2">
      <c r="B324" s="108">
        <f t="shared" si="20"/>
        <v>319</v>
      </c>
      <c r="C324" s="68"/>
      <c r="D324" s="64">
        <v>223</v>
      </c>
      <c r="E324" s="69"/>
      <c r="F324" s="2" t="s">
        <v>254</v>
      </c>
      <c r="G324" s="238">
        <f>G327+G326+G325</f>
        <v>111800</v>
      </c>
      <c r="H324" s="17">
        <f>H327+H326+H325</f>
        <v>146691</v>
      </c>
      <c r="I324" s="219">
        <f t="shared" si="18"/>
        <v>131.20840787119857</v>
      </c>
    </row>
    <row r="325" spans="2:9" x14ac:dyDescent="0.2">
      <c r="B325" s="108">
        <f t="shared" si="20"/>
        <v>320</v>
      </c>
      <c r="C325" s="68"/>
      <c r="D325" s="64"/>
      <c r="E325" s="71">
        <v>223001</v>
      </c>
      <c r="F325" s="3" t="s">
        <v>255</v>
      </c>
      <c r="G325" s="213">
        <v>15800</v>
      </c>
      <c r="H325" s="18">
        <v>13359</v>
      </c>
      <c r="I325" s="219">
        <f t="shared" si="18"/>
        <v>84.550632911392412</v>
      </c>
    </row>
    <row r="326" spans="2:9" x14ac:dyDescent="0.2">
      <c r="B326" s="108">
        <f t="shared" si="20"/>
        <v>321</v>
      </c>
      <c r="C326" s="70"/>
      <c r="D326" s="65"/>
      <c r="E326" s="71">
        <v>223002</v>
      </c>
      <c r="F326" s="3" t="s">
        <v>76</v>
      </c>
      <c r="G326" s="213">
        <f>15800-2800+2000</f>
        <v>15000</v>
      </c>
      <c r="H326" s="18">
        <v>19192</v>
      </c>
      <c r="I326" s="219">
        <f t="shared" si="18"/>
        <v>127.94666666666667</v>
      </c>
    </row>
    <row r="327" spans="2:9" x14ac:dyDescent="0.2">
      <c r="B327" s="108">
        <f t="shared" si="20"/>
        <v>322</v>
      </c>
      <c r="C327" s="70"/>
      <c r="D327" s="65"/>
      <c r="E327" s="71">
        <v>223003</v>
      </c>
      <c r="F327" s="50" t="s">
        <v>77</v>
      </c>
      <c r="G327" s="213">
        <v>81000</v>
      </c>
      <c r="H327" s="18">
        <v>114140</v>
      </c>
      <c r="I327" s="219">
        <f t="shared" si="18"/>
        <v>140.9135802469136</v>
      </c>
    </row>
    <row r="328" spans="2:9" x14ac:dyDescent="0.2">
      <c r="B328" s="108">
        <f t="shared" si="20"/>
        <v>323</v>
      </c>
      <c r="C328" s="66">
        <v>290</v>
      </c>
      <c r="D328" s="63"/>
      <c r="E328" s="67"/>
      <c r="F328" s="5" t="s">
        <v>181</v>
      </c>
      <c r="G328" s="237">
        <f>G329</f>
        <v>1643</v>
      </c>
      <c r="H328" s="251">
        <f>H329</f>
        <v>2361</v>
      </c>
      <c r="I328" s="219">
        <f t="shared" si="18"/>
        <v>143.70054777845405</v>
      </c>
    </row>
    <row r="329" spans="2:9" x14ac:dyDescent="0.2">
      <c r="B329" s="108">
        <f t="shared" si="20"/>
        <v>324</v>
      </c>
      <c r="C329" s="68"/>
      <c r="D329" s="64">
        <v>292</v>
      </c>
      <c r="E329" s="69"/>
      <c r="F329" s="2" t="s">
        <v>182</v>
      </c>
      <c r="G329" s="238">
        <f>SUM(G331:G331)</f>
        <v>1643</v>
      </c>
      <c r="H329" s="17">
        <f>H330+H331</f>
        <v>2361</v>
      </c>
      <c r="I329" s="219">
        <f t="shared" si="18"/>
        <v>143.70054777845405</v>
      </c>
    </row>
    <row r="330" spans="2:9" x14ac:dyDescent="0.2">
      <c r="B330" s="108"/>
      <c r="C330" s="70"/>
      <c r="D330" s="65"/>
      <c r="E330" s="71">
        <v>292012</v>
      </c>
      <c r="F330" s="3" t="s">
        <v>236</v>
      </c>
      <c r="G330" s="213">
        <v>0</v>
      </c>
      <c r="H330" s="18">
        <v>718</v>
      </c>
      <c r="I330" s="219">
        <v>0</v>
      </c>
    </row>
    <row r="331" spans="2:9" ht="13.5" thickBot="1" x14ac:dyDescent="0.25">
      <c r="B331" s="108">
        <f>B329+1</f>
        <v>325</v>
      </c>
      <c r="C331" s="205"/>
      <c r="D331" s="207"/>
      <c r="E331" s="205">
        <v>292017</v>
      </c>
      <c r="F331" s="14" t="s">
        <v>237</v>
      </c>
      <c r="G331" s="240">
        <v>1643</v>
      </c>
      <c r="H331" s="253">
        <v>1643</v>
      </c>
      <c r="I331" s="219">
        <f t="shared" si="18"/>
        <v>100</v>
      </c>
    </row>
    <row r="332" spans="2:9" ht="15.75" thickBot="1" x14ac:dyDescent="0.3">
      <c r="B332" s="108">
        <f t="shared" si="20"/>
        <v>326</v>
      </c>
      <c r="C332" s="72">
        <v>8</v>
      </c>
      <c r="D332" s="141"/>
      <c r="E332" s="73"/>
      <c r="F332" s="9" t="s">
        <v>10</v>
      </c>
      <c r="G332" s="236">
        <f>G339+G336+G333+G342</f>
        <v>44522</v>
      </c>
      <c r="H332" s="250">
        <f>H339+H336+H333+H342</f>
        <v>43054</v>
      </c>
      <c r="I332" s="219">
        <f t="shared" si="18"/>
        <v>96.702753694802567</v>
      </c>
    </row>
    <row r="333" spans="2:9" x14ac:dyDescent="0.2">
      <c r="B333" s="108">
        <f t="shared" si="20"/>
        <v>327</v>
      </c>
      <c r="C333" s="66">
        <v>210</v>
      </c>
      <c r="D333" s="140"/>
      <c r="E333" s="67"/>
      <c r="F333" s="5" t="s">
        <v>250</v>
      </c>
      <c r="G333" s="237">
        <f>G334</f>
        <v>20100</v>
      </c>
      <c r="H333" s="251">
        <f>H334</f>
        <v>18933</v>
      </c>
      <c r="I333" s="219">
        <f t="shared" si="18"/>
        <v>94.194029850746261</v>
      </c>
    </row>
    <row r="334" spans="2:9" x14ac:dyDescent="0.2">
      <c r="B334" s="108">
        <f t="shared" si="20"/>
        <v>328</v>
      </c>
      <c r="C334" s="68"/>
      <c r="D334" s="64">
        <v>212</v>
      </c>
      <c r="E334" s="69"/>
      <c r="F334" s="2" t="s">
        <v>251</v>
      </c>
      <c r="G334" s="238">
        <f>G335</f>
        <v>20100</v>
      </c>
      <c r="H334" s="17">
        <f>H335</f>
        <v>18933</v>
      </c>
      <c r="I334" s="219">
        <f t="shared" si="18"/>
        <v>94.194029850746261</v>
      </c>
    </row>
    <row r="335" spans="2:9" x14ac:dyDescent="0.2">
      <c r="B335" s="108">
        <f t="shared" si="20"/>
        <v>329</v>
      </c>
      <c r="C335" s="70"/>
      <c r="D335" s="65"/>
      <c r="E335" s="71">
        <v>212003</v>
      </c>
      <c r="F335" s="3" t="s">
        <v>252</v>
      </c>
      <c r="G335" s="213">
        <v>20100</v>
      </c>
      <c r="H335" s="18">
        <v>18933</v>
      </c>
      <c r="I335" s="219">
        <f t="shared" si="18"/>
        <v>94.194029850746261</v>
      </c>
    </row>
    <row r="336" spans="2:9" x14ac:dyDescent="0.2">
      <c r="B336" s="108">
        <f t="shared" si="20"/>
        <v>330</v>
      </c>
      <c r="C336" s="66">
        <v>220</v>
      </c>
      <c r="D336" s="63"/>
      <c r="E336" s="67"/>
      <c r="F336" s="5" t="s">
        <v>225</v>
      </c>
      <c r="G336" s="237">
        <f>G337</f>
        <v>22756</v>
      </c>
      <c r="H336" s="251">
        <f>H337</f>
        <v>22459</v>
      </c>
      <c r="I336" s="219">
        <f t="shared" si="18"/>
        <v>98.694849709966604</v>
      </c>
    </row>
    <row r="337" spans="2:9" x14ac:dyDescent="0.2">
      <c r="B337" s="108">
        <f t="shared" si="20"/>
        <v>331</v>
      </c>
      <c r="C337" s="68"/>
      <c r="D337" s="64">
        <v>223</v>
      </c>
      <c r="E337" s="69"/>
      <c r="F337" s="2" t="s">
        <v>254</v>
      </c>
      <c r="G337" s="238">
        <f>G338</f>
        <v>22756</v>
      </c>
      <c r="H337" s="17">
        <f>H338</f>
        <v>22459</v>
      </c>
      <c r="I337" s="219">
        <f t="shared" si="18"/>
        <v>98.694849709966604</v>
      </c>
    </row>
    <row r="338" spans="2:9" x14ac:dyDescent="0.2">
      <c r="B338" s="108">
        <f t="shared" si="20"/>
        <v>332</v>
      </c>
      <c r="C338" s="70"/>
      <c r="D338" s="65"/>
      <c r="E338" s="71">
        <v>223002</v>
      </c>
      <c r="F338" s="3" t="s">
        <v>76</v>
      </c>
      <c r="G338" s="213">
        <v>22756</v>
      </c>
      <c r="H338" s="18">
        <v>22459</v>
      </c>
      <c r="I338" s="219">
        <f t="shared" si="18"/>
        <v>98.694849709966604</v>
      </c>
    </row>
    <row r="339" spans="2:9" x14ac:dyDescent="0.2">
      <c r="B339" s="108">
        <f t="shared" si="20"/>
        <v>333</v>
      </c>
      <c r="C339" s="66">
        <v>240</v>
      </c>
      <c r="D339" s="63"/>
      <c r="E339" s="67"/>
      <c r="F339" s="5" t="s">
        <v>179</v>
      </c>
      <c r="G339" s="237">
        <f>G340</f>
        <v>4</v>
      </c>
      <c r="H339" s="251">
        <f>H340</f>
        <v>0</v>
      </c>
      <c r="I339" s="219">
        <f t="shared" si="18"/>
        <v>0</v>
      </c>
    </row>
    <row r="340" spans="2:9" x14ac:dyDescent="0.2">
      <c r="B340" s="108">
        <f t="shared" si="20"/>
        <v>334</v>
      </c>
      <c r="C340" s="68"/>
      <c r="D340" s="64">
        <v>242</v>
      </c>
      <c r="E340" s="69"/>
      <c r="F340" s="2" t="s">
        <v>178</v>
      </c>
      <c r="G340" s="238">
        <f>G341</f>
        <v>4</v>
      </c>
      <c r="H340" s="17">
        <f>H341</f>
        <v>0</v>
      </c>
      <c r="I340" s="219">
        <f t="shared" si="18"/>
        <v>0</v>
      </c>
    </row>
    <row r="341" spans="2:9" x14ac:dyDescent="0.2">
      <c r="B341" s="108">
        <f t="shared" si="20"/>
        <v>335</v>
      </c>
      <c r="C341" s="70"/>
      <c r="D341" s="65"/>
      <c r="E341" s="71">
        <v>242</v>
      </c>
      <c r="F341" s="3" t="s">
        <v>178</v>
      </c>
      <c r="G341" s="213">
        <v>4</v>
      </c>
      <c r="H341" s="18">
        <v>0</v>
      </c>
      <c r="I341" s="219">
        <f t="shared" si="18"/>
        <v>0</v>
      </c>
    </row>
    <row r="342" spans="2:9" x14ac:dyDescent="0.2">
      <c r="B342" s="108">
        <f t="shared" si="20"/>
        <v>336</v>
      </c>
      <c r="C342" s="66">
        <v>290</v>
      </c>
      <c r="D342" s="63"/>
      <c r="E342" s="67"/>
      <c r="F342" s="5" t="s">
        <v>181</v>
      </c>
      <c r="G342" s="237">
        <f>G343</f>
        <v>1662</v>
      </c>
      <c r="H342" s="251">
        <f>H343</f>
        <v>1662</v>
      </c>
      <c r="I342" s="219">
        <f t="shared" ref="I342:I402" si="21">H342/G342*100</f>
        <v>100</v>
      </c>
    </row>
    <row r="343" spans="2:9" x14ac:dyDescent="0.2">
      <c r="B343" s="108">
        <f t="shared" si="20"/>
        <v>337</v>
      </c>
      <c r="C343" s="68"/>
      <c r="D343" s="64">
        <v>292</v>
      </c>
      <c r="E343" s="69"/>
      <c r="F343" s="2" t="s">
        <v>182</v>
      </c>
      <c r="G343" s="238">
        <f>SUM(G344:G344)</f>
        <v>1662</v>
      </c>
      <c r="H343" s="17">
        <f>SUM(H344:H344)</f>
        <v>1662</v>
      </c>
      <c r="I343" s="219">
        <f t="shared" si="21"/>
        <v>100</v>
      </c>
    </row>
    <row r="344" spans="2:9" ht="13.5" thickBot="1" x14ac:dyDescent="0.25">
      <c r="B344" s="108">
        <f t="shared" si="20"/>
        <v>338</v>
      </c>
      <c r="C344" s="205"/>
      <c r="D344" s="207"/>
      <c r="E344" s="205">
        <v>292017</v>
      </c>
      <c r="F344" s="14" t="s">
        <v>237</v>
      </c>
      <c r="G344" s="240">
        <v>1662</v>
      </c>
      <c r="H344" s="253">
        <v>1662</v>
      </c>
      <c r="I344" s="219">
        <f t="shared" si="21"/>
        <v>100</v>
      </c>
    </row>
    <row r="345" spans="2:9" ht="15.75" thickBot="1" x14ac:dyDescent="0.3">
      <c r="B345" s="108">
        <f t="shared" si="20"/>
        <v>339</v>
      </c>
      <c r="C345" s="72">
        <v>9</v>
      </c>
      <c r="D345" s="141"/>
      <c r="E345" s="73"/>
      <c r="F345" s="9" t="s">
        <v>8</v>
      </c>
      <c r="G345" s="236">
        <f>G349+G346+G354</f>
        <v>87664</v>
      </c>
      <c r="H345" s="250">
        <f>H349+H346+H354</f>
        <v>84646</v>
      </c>
      <c r="I345" s="219">
        <f t="shared" si="21"/>
        <v>96.557309728052559</v>
      </c>
    </row>
    <row r="346" spans="2:9" x14ac:dyDescent="0.2">
      <c r="B346" s="108">
        <f t="shared" si="20"/>
        <v>340</v>
      </c>
      <c r="C346" s="66">
        <v>210</v>
      </c>
      <c r="D346" s="140"/>
      <c r="E346" s="67"/>
      <c r="F346" s="5" t="s">
        <v>250</v>
      </c>
      <c r="G346" s="237">
        <f>G347</f>
        <v>3000</v>
      </c>
      <c r="H346" s="251">
        <f>H347</f>
        <v>1611</v>
      </c>
      <c r="I346" s="219">
        <f t="shared" si="21"/>
        <v>53.7</v>
      </c>
    </row>
    <row r="347" spans="2:9" x14ac:dyDescent="0.2">
      <c r="B347" s="108">
        <f t="shared" si="20"/>
        <v>341</v>
      </c>
      <c r="C347" s="68"/>
      <c r="D347" s="64">
        <v>212</v>
      </c>
      <c r="E347" s="69"/>
      <c r="F347" s="2" t="s">
        <v>251</v>
      </c>
      <c r="G347" s="238">
        <f>G348</f>
        <v>3000</v>
      </c>
      <c r="H347" s="17">
        <f>H348</f>
        <v>1611</v>
      </c>
      <c r="I347" s="219">
        <f t="shared" si="21"/>
        <v>53.7</v>
      </c>
    </row>
    <row r="348" spans="2:9" x14ac:dyDescent="0.2">
      <c r="B348" s="108">
        <f t="shared" si="20"/>
        <v>342</v>
      </c>
      <c r="C348" s="70"/>
      <c r="D348" s="65"/>
      <c r="E348" s="71">
        <v>212003</v>
      </c>
      <c r="F348" s="3" t="s">
        <v>252</v>
      </c>
      <c r="G348" s="213">
        <v>3000</v>
      </c>
      <c r="H348" s="18">
        <v>1611</v>
      </c>
      <c r="I348" s="219">
        <f t="shared" si="21"/>
        <v>53.7</v>
      </c>
    </row>
    <row r="349" spans="2:9" x14ac:dyDescent="0.2">
      <c r="B349" s="108">
        <f t="shared" si="20"/>
        <v>343</v>
      </c>
      <c r="C349" s="66">
        <v>220</v>
      </c>
      <c r="D349" s="63"/>
      <c r="E349" s="67"/>
      <c r="F349" s="5" t="s">
        <v>225</v>
      </c>
      <c r="G349" s="237">
        <f>G350</f>
        <v>83360</v>
      </c>
      <c r="H349" s="251">
        <f>H350</f>
        <v>82231</v>
      </c>
      <c r="I349" s="219">
        <f t="shared" si="21"/>
        <v>98.645633397312864</v>
      </c>
    </row>
    <row r="350" spans="2:9" x14ac:dyDescent="0.2">
      <c r="B350" s="108">
        <f t="shared" si="20"/>
        <v>344</v>
      </c>
      <c r="C350" s="68"/>
      <c r="D350" s="64">
        <v>223</v>
      </c>
      <c r="E350" s="69"/>
      <c r="F350" s="2" t="s">
        <v>254</v>
      </c>
      <c r="G350" s="238">
        <f>G353+G352+G351</f>
        <v>83360</v>
      </c>
      <c r="H350" s="17">
        <f>H353+H352+H351</f>
        <v>82231</v>
      </c>
      <c r="I350" s="219">
        <f t="shared" si="21"/>
        <v>98.645633397312864</v>
      </c>
    </row>
    <row r="351" spans="2:9" x14ac:dyDescent="0.2">
      <c r="B351" s="108">
        <f t="shared" si="20"/>
        <v>345</v>
      </c>
      <c r="C351" s="70"/>
      <c r="D351" s="65"/>
      <c r="E351" s="71">
        <v>223001</v>
      </c>
      <c r="F351" s="3" t="s">
        <v>255</v>
      </c>
      <c r="G351" s="213">
        <v>7800</v>
      </c>
      <c r="H351" s="18">
        <v>8718</v>
      </c>
      <c r="I351" s="219">
        <f t="shared" si="21"/>
        <v>111.76923076923077</v>
      </c>
    </row>
    <row r="352" spans="2:9" x14ac:dyDescent="0.2">
      <c r="B352" s="108">
        <f t="shared" si="20"/>
        <v>346</v>
      </c>
      <c r="C352" s="70"/>
      <c r="D352" s="65"/>
      <c r="E352" s="71">
        <v>223002</v>
      </c>
      <c r="F352" s="50" t="s">
        <v>76</v>
      </c>
      <c r="G352" s="213">
        <v>9560</v>
      </c>
      <c r="H352" s="18">
        <v>7761</v>
      </c>
      <c r="I352" s="219">
        <f t="shared" si="21"/>
        <v>81.18200836820084</v>
      </c>
    </row>
    <row r="353" spans="2:9" x14ac:dyDescent="0.2">
      <c r="B353" s="108">
        <f t="shared" si="20"/>
        <v>347</v>
      </c>
      <c r="C353" s="70"/>
      <c r="D353" s="65"/>
      <c r="E353" s="71">
        <v>223003</v>
      </c>
      <c r="F353" s="50" t="s">
        <v>77</v>
      </c>
      <c r="G353" s="213">
        <v>66000</v>
      </c>
      <c r="H353" s="18">
        <v>65752</v>
      </c>
      <c r="I353" s="219">
        <f t="shared" si="21"/>
        <v>99.624242424242425</v>
      </c>
    </row>
    <row r="354" spans="2:9" x14ac:dyDescent="0.2">
      <c r="B354" s="108">
        <f t="shared" si="20"/>
        <v>348</v>
      </c>
      <c r="C354" s="66">
        <v>290</v>
      </c>
      <c r="D354" s="63"/>
      <c r="E354" s="67"/>
      <c r="F354" s="5" t="s">
        <v>181</v>
      </c>
      <c r="G354" s="237">
        <f>G355</f>
        <v>1304</v>
      </c>
      <c r="H354" s="251">
        <f>H355</f>
        <v>804</v>
      </c>
      <c r="I354" s="219">
        <f t="shared" si="21"/>
        <v>61.656441717791409</v>
      </c>
    </row>
    <row r="355" spans="2:9" x14ac:dyDescent="0.2">
      <c r="B355" s="108">
        <f t="shared" si="20"/>
        <v>349</v>
      </c>
      <c r="C355" s="68"/>
      <c r="D355" s="64">
        <v>292</v>
      </c>
      <c r="E355" s="69"/>
      <c r="F355" s="2" t="s">
        <v>182</v>
      </c>
      <c r="G355" s="238">
        <f>G356</f>
        <v>1304</v>
      </c>
      <c r="H355" s="17">
        <f>H356</f>
        <v>804</v>
      </c>
      <c r="I355" s="219">
        <f t="shared" si="21"/>
        <v>61.656441717791409</v>
      </c>
    </row>
    <row r="356" spans="2:9" ht="13.5" thickBot="1" x14ac:dyDescent="0.25">
      <c r="B356" s="108">
        <f t="shared" si="20"/>
        <v>350</v>
      </c>
      <c r="C356" s="70"/>
      <c r="D356" s="139"/>
      <c r="E356" s="71">
        <v>292012</v>
      </c>
      <c r="F356" s="3" t="s">
        <v>236</v>
      </c>
      <c r="G356" s="242">
        <f>804+500</f>
        <v>1304</v>
      </c>
      <c r="H356" s="23">
        <v>804</v>
      </c>
      <c r="I356" s="219">
        <f t="shared" si="21"/>
        <v>61.656441717791409</v>
      </c>
    </row>
    <row r="357" spans="2:9" ht="15.75" thickBot="1" x14ac:dyDescent="0.3">
      <c r="B357" s="108">
        <f t="shared" si="20"/>
        <v>351</v>
      </c>
      <c r="C357" s="72">
        <v>10</v>
      </c>
      <c r="D357" s="141"/>
      <c r="E357" s="73"/>
      <c r="F357" s="9" t="s">
        <v>2</v>
      </c>
      <c r="G357" s="236">
        <f>G366+G361+G358</f>
        <v>134500</v>
      </c>
      <c r="H357" s="250">
        <f>H366+H361+H358</f>
        <v>150278</v>
      </c>
      <c r="I357" s="219">
        <f t="shared" si="21"/>
        <v>111.73085501858738</v>
      </c>
    </row>
    <row r="358" spans="2:9" x14ac:dyDescent="0.2">
      <c r="B358" s="108">
        <f t="shared" si="20"/>
        <v>352</v>
      </c>
      <c r="C358" s="66">
        <v>210</v>
      </c>
      <c r="D358" s="140"/>
      <c r="E358" s="67"/>
      <c r="F358" s="5" t="s">
        <v>250</v>
      </c>
      <c r="G358" s="237">
        <f>G359</f>
        <v>7100</v>
      </c>
      <c r="H358" s="251">
        <f>H359</f>
        <v>3350</v>
      </c>
      <c r="I358" s="219">
        <f t="shared" si="21"/>
        <v>47.183098591549296</v>
      </c>
    </row>
    <row r="359" spans="2:9" x14ac:dyDescent="0.2">
      <c r="B359" s="108">
        <f t="shared" si="20"/>
        <v>353</v>
      </c>
      <c r="C359" s="68"/>
      <c r="D359" s="64">
        <v>212</v>
      </c>
      <c r="E359" s="69"/>
      <c r="F359" s="2" t="s">
        <v>251</v>
      </c>
      <c r="G359" s="238">
        <f>G360</f>
        <v>7100</v>
      </c>
      <c r="H359" s="17">
        <f>H360</f>
        <v>3350</v>
      </c>
      <c r="I359" s="219">
        <f t="shared" si="21"/>
        <v>47.183098591549296</v>
      </c>
    </row>
    <row r="360" spans="2:9" x14ac:dyDescent="0.2">
      <c r="B360" s="108">
        <f t="shared" si="20"/>
        <v>354</v>
      </c>
      <c r="C360" s="70"/>
      <c r="D360" s="65"/>
      <c r="E360" s="71">
        <v>212003</v>
      </c>
      <c r="F360" s="3" t="s">
        <v>252</v>
      </c>
      <c r="G360" s="213">
        <v>7100</v>
      </c>
      <c r="H360" s="18">
        <v>3350</v>
      </c>
      <c r="I360" s="219">
        <f t="shared" si="21"/>
        <v>47.183098591549296</v>
      </c>
    </row>
    <row r="361" spans="2:9" x14ac:dyDescent="0.2">
      <c r="B361" s="108">
        <f t="shared" si="20"/>
        <v>355</v>
      </c>
      <c r="C361" s="66">
        <v>220</v>
      </c>
      <c r="D361" s="63"/>
      <c r="E361" s="67"/>
      <c r="F361" s="5" t="s">
        <v>225</v>
      </c>
      <c r="G361" s="237">
        <f>G362</f>
        <v>126900</v>
      </c>
      <c r="H361" s="251">
        <f>H362</f>
        <v>146928</v>
      </c>
      <c r="I361" s="219">
        <f t="shared" si="21"/>
        <v>115.78250591016548</v>
      </c>
    </row>
    <row r="362" spans="2:9" x14ac:dyDescent="0.2">
      <c r="B362" s="108">
        <f t="shared" si="20"/>
        <v>356</v>
      </c>
      <c r="C362" s="68"/>
      <c r="D362" s="64">
        <v>223</v>
      </c>
      <c r="E362" s="69"/>
      <c r="F362" s="2" t="s">
        <v>254</v>
      </c>
      <c r="G362" s="238">
        <f>G365+G364+G363</f>
        <v>126900</v>
      </c>
      <c r="H362" s="17">
        <f>H365+H364+H363</f>
        <v>146928</v>
      </c>
      <c r="I362" s="219">
        <f t="shared" si="21"/>
        <v>115.78250591016548</v>
      </c>
    </row>
    <row r="363" spans="2:9" x14ac:dyDescent="0.2">
      <c r="B363" s="108">
        <f t="shared" si="20"/>
        <v>357</v>
      </c>
      <c r="C363" s="70"/>
      <c r="D363" s="65"/>
      <c r="E363" s="71">
        <v>223001</v>
      </c>
      <c r="F363" s="3" t="s">
        <v>255</v>
      </c>
      <c r="G363" s="213">
        <v>21070</v>
      </c>
      <c r="H363" s="18">
        <v>34401</v>
      </c>
      <c r="I363" s="219">
        <f t="shared" si="21"/>
        <v>163.27005220692928</v>
      </c>
    </row>
    <row r="364" spans="2:9" x14ac:dyDescent="0.2">
      <c r="B364" s="108">
        <f t="shared" si="20"/>
        <v>358</v>
      </c>
      <c r="C364" s="70"/>
      <c r="D364" s="65"/>
      <c r="E364" s="71">
        <v>223002</v>
      </c>
      <c r="F364" s="3" t="s">
        <v>76</v>
      </c>
      <c r="G364" s="213">
        <f>6330+1500</f>
        <v>7830</v>
      </c>
      <c r="H364" s="18">
        <v>8069</v>
      </c>
      <c r="I364" s="219">
        <f t="shared" si="21"/>
        <v>103.05236270753512</v>
      </c>
    </row>
    <row r="365" spans="2:9" x14ac:dyDescent="0.2">
      <c r="B365" s="108">
        <f t="shared" si="20"/>
        <v>359</v>
      </c>
      <c r="C365" s="70"/>
      <c r="D365" s="65"/>
      <c r="E365" s="71">
        <v>223003</v>
      </c>
      <c r="F365" s="50" t="s">
        <v>77</v>
      </c>
      <c r="G365" s="213">
        <f>70000+28000</f>
        <v>98000</v>
      </c>
      <c r="H365" s="18">
        <v>104458</v>
      </c>
      <c r="I365" s="219">
        <f t="shared" si="21"/>
        <v>106.58979591836734</v>
      </c>
    </row>
    <row r="366" spans="2:9" x14ac:dyDescent="0.2">
      <c r="B366" s="108">
        <f t="shared" si="20"/>
        <v>360</v>
      </c>
      <c r="C366" s="66">
        <v>290</v>
      </c>
      <c r="D366" s="63"/>
      <c r="E366" s="67"/>
      <c r="F366" s="5" t="s">
        <v>181</v>
      </c>
      <c r="G366" s="237">
        <f>G367</f>
        <v>500</v>
      </c>
      <c r="H366" s="251">
        <f>H367</f>
        <v>0</v>
      </c>
      <c r="I366" s="219">
        <f t="shared" si="21"/>
        <v>0</v>
      </c>
    </row>
    <row r="367" spans="2:9" x14ac:dyDescent="0.2">
      <c r="B367" s="108">
        <f t="shared" si="20"/>
        <v>361</v>
      </c>
      <c r="C367" s="68"/>
      <c r="D367" s="64">
        <v>292</v>
      </c>
      <c r="E367" s="69"/>
      <c r="F367" s="2" t="s">
        <v>182</v>
      </c>
      <c r="G367" s="238">
        <f>G368</f>
        <v>500</v>
      </c>
      <c r="H367" s="17">
        <f>H368</f>
        <v>0</v>
      </c>
      <c r="I367" s="219">
        <f t="shared" si="21"/>
        <v>0</v>
      </c>
    </row>
    <row r="368" spans="2:9" ht="13.5" thickBot="1" x14ac:dyDescent="0.25">
      <c r="B368" s="108">
        <f t="shared" si="20"/>
        <v>362</v>
      </c>
      <c r="C368" s="70"/>
      <c r="D368" s="65"/>
      <c r="E368" s="71">
        <v>292012</v>
      </c>
      <c r="F368" s="3" t="s">
        <v>236</v>
      </c>
      <c r="G368" s="213">
        <v>500</v>
      </c>
      <c r="H368" s="18">
        <v>0</v>
      </c>
      <c r="I368" s="219">
        <f t="shared" si="21"/>
        <v>0</v>
      </c>
    </row>
    <row r="369" spans="2:9" ht="15.75" thickBot="1" x14ac:dyDescent="0.3">
      <c r="B369" s="108">
        <f t="shared" si="20"/>
        <v>363</v>
      </c>
      <c r="C369" s="72">
        <v>11</v>
      </c>
      <c r="D369" s="141"/>
      <c r="E369" s="73"/>
      <c r="F369" s="9" t="s">
        <v>11</v>
      </c>
      <c r="G369" s="236">
        <f>G378+G373+G370+G381</f>
        <v>202598</v>
      </c>
      <c r="H369" s="250">
        <f>H378+H373+H370+H381</f>
        <v>231520</v>
      </c>
      <c r="I369" s="219">
        <f t="shared" si="21"/>
        <v>114.27556046950119</v>
      </c>
    </row>
    <row r="370" spans="2:9" x14ac:dyDescent="0.2">
      <c r="B370" s="108">
        <f t="shared" si="20"/>
        <v>364</v>
      </c>
      <c r="C370" s="66">
        <v>210</v>
      </c>
      <c r="D370" s="140"/>
      <c r="E370" s="67"/>
      <c r="F370" s="5" t="s">
        <v>250</v>
      </c>
      <c r="G370" s="237">
        <f>G371</f>
        <v>39196</v>
      </c>
      <c r="H370" s="251">
        <f>H371</f>
        <v>39617</v>
      </c>
      <c r="I370" s="219">
        <f t="shared" si="21"/>
        <v>101.07408919277476</v>
      </c>
    </row>
    <row r="371" spans="2:9" x14ac:dyDescent="0.2">
      <c r="B371" s="108">
        <f t="shared" si="20"/>
        <v>365</v>
      </c>
      <c r="C371" s="68"/>
      <c r="D371" s="64">
        <v>212</v>
      </c>
      <c r="E371" s="69"/>
      <c r="F371" s="2" t="s">
        <v>251</v>
      </c>
      <c r="G371" s="238">
        <f>G372</f>
        <v>39196</v>
      </c>
      <c r="H371" s="17">
        <f>H372</f>
        <v>39617</v>
      </c>
      <c r="I371" s="219">
        <f t="shared" si="21"/>
        <v>101.07408919277476</v>
      </c>
    </row>
    <row r="372" spans="2:9" x14ac:dyDescent="0.2">
      <c r="B372" s="108">
        <f t="shared" si="20"/>
        <v>366</v>
      </c>
      <c r="C372" s="70"/>
      <c r="D372" s="65"/>
      <c r="E372" s="71">
        <v>212003</v>
      </c>
      <c r="F372" s="3" t="s">
        <v>252</v>
      </c>
      <c r="G372" s="213">
        <v>39196</v>
      </c>
      <c r="H372" s="18">
        <v>39617</v>
      </c>
      <c r="I372" s="219">
        <f t="shared" si="21"/>
        <v>101.07408919277476</v>
      </c>
    </row>
    <row r="373" spans="2:9" x14ac:dyDescent="0.2">
      <c r="B373" s="108">
        <f t="shared" si="20"/>
        <v>367</v>
      </c>
      <c r="C373" s="66">
        <v>220</v>
      </c>
      <c r="D373" s="63"/>
      <c r="E373" s="67"/>
      <c r="F373" s="5" t="s">
        <v>225</v>
      </c>
      <c r="G373" s="237">
        <f>G374</f>
        <v>161351</v>
      </c>
      <c r="H373" s="251">
        <f>H374</f>
        <v>189856</v>
      </c>
      <c r="I373" s="219">
        <f t="shared" si="21"/>
        <v>117.66645388005033</v>
      </c>
    </row>
    <row r="374" spans="2:9" x14ac:dyDescent="0.2">
      <c r="B374" s="108">
        <f t="shared" si="20"/>
        <v>368</v>
      </c>
      <c r="C374" s="68"/>
      <c r="D374" s="64">
        <v>223</v>
      </c>
      <c r="E374" s="69"/>
      <c r="F374" s="2" t="s">
        <v>254</v>
      </c>
      <c r="G374" s="238">
        <f>G377+G376+G375</f>
        <v>161351</v>
      </c>
      <c r="H374" s="17">
        <f>H377+H376+H375</f>
        <v>189856</v>
      </c>
      <c r="I374" s="219">
        <f t="shared" si="21"/>
        <v>117.66645388005033</v>
      </c>
    </row>
    <row r="375" spans="2:9" x14ac:dyDescent="0.2">
      <c r="B375" s="108">
        <f t="shared" si="20"/>
        <v>369</v>
      </c>
      <c r="C375" s="70"/>
      <c r="D375" s="65"/>
      <c r="E375" s="71">
        <v>223001</v>
      </c>
      <c r="F375" s="3" t="s">
        <v>255</v>
      </c>
      <c r="G375" s="213">
        <v>18500</v>
      </c>
      <c r="H375" s="18">
        <v>20117</v>
      </c>
      <c r="I375" s="219">
        <f t="shared" si="21"/>
        <v>108.74054054054054</v>
      </c>
    </row>
    <row r="376" spans="2:9" x14ac:dyDescent="0.2">
      <c r="B376" s="108">
        <f t="shared" si="20"/>
        <v>370</v>
      </c>
      <c r="C376" s="70"/>
      <c r="D376" s="65"/>
      <c r="E376" s="71">
        <v>223002</v>
      </c>
      <c r="F376" s="3" t="s">
        <v>76</v>
      </c>
      <c r="G376" s="213">
        <f>13000+1911</f>
        <v>14911</v>
      </c>
      <c r="H376" s="18">
        <v>17268</v>
      </c>
      <c r="I376" s="219">
        <f t="shared" si="21"/>
        <v>115.80712225873515</v>
      </c>
    </row>
    <row r="377" spans="2:9" x14ac:dyDescent="0.2">
      <c r="B377" s="108">
        <f t="shared" si="20"/>
        <v>371</v>
      </c>
      <c r="C377" s="70"/>
      <c r="D377" s="65"/>
      <c r="E377" s="71">
        <v>223003</v>
      </c>
      <c r="F377" s="50" t="s">
        <v>77</v>
      </c>
      <c r="G377" s="213">
        <f>114000+13940</f>
        <v>127940</v>
      </c>
      <c r="H377" s="18">
        <v>152471</v>
      </c>
      <c r="I377" s="219">
        <f t="shared" si="21"/>
        <v>119.17383148350788</v>
      </c>
    </row>
    <row r="378" spans="2:9" x14ac:dyDescent="0.2">
      <c r="B378" s="108">
        <f t="shared" si="20"/>
        <v>372</v>
      </c>
      <c r="C378" s="66">
        <v>240</v>
      </c>
      <c r="D378" s="63"/>
      <c r="E378" s="67"/>
      <c r="F378" s="5" t="s">
        <v>179</v>
      </c>
      <c r="G378" s="237">
        <f>G379</f>
        <v>4</v>
      </c>
      <c r="H378" s="251">
        <f>H379</f>
        <v>0</v>
      </c>
      <c r="I378" s="219">
        <f t="shared" si="21"/>
        <v>0</v>
      </c>
    </row>
    <row r="379" spans="2:9" x14ac:dyDescent="0.2">
      <c r="B379" s="108">
        <f t="shared" si="20"/>
        <v>373</v>
      </c>
      <c r="C379" s="68"/>
      <c r="D379" s="64">
        <v>242</v>
      </c>
      <c r="E379" s="69"/>
      <c r="F379" s="2" t="s">
        <v>178</v>
      </c>
      <c r="G379" s="238">
        <f>G380</f>
        <v>4</v>
      </c>
      <c r="H379" s="17">
        <f>H380</f>
        <v>0</v>
      </c>
      <c r="I379" s="219">
        <f t="shared" si="21"/>
        <v>0</v>
      </c>
    </row>
    <row r="380" spans="2:9" x14ac:dyDescent="0.2">
      <c r="B380" s="108">
        <f t="shared" si="20"/>
        <v>374</v>
      </c>
      <c r="C380" s="70"/>
      <c r="D380" s="65"/>
      <c r="E380" s="71">
        <v>242</v>
      </c>
      <c r="F380" s="3" t="s">
        <v>178</v>
      </c>
      <c r="G380" s="213">
        <v>4</v>
      </c>
      <c r="H380" s="18">
        <v>0</v>
      </c>
      <c r="I380" s="219">
        <f t="shared" si="21"/>
        <v>0</v>
      </c>
    </row>
    <row r="381" spans="2:9" x14ac:dyDescent="0.2">
      <c r="B381" s="108">
        <f t="shared" si="20"/>
        <v>375</v>
      </c>
      <c r="C381" s="66">
        <v>290</v>
      </c>
      <c r="D381" s="63"/>
      <c r="E381" s="67"/>
      <c r="F381" s="5" t="s">
        <v>181</v>
      </c>
      <c r="G381" s="237">
        <f>G382</f>
        <v>2047</v>
      </c>
      <c r="H381" s="251">
        <f>H382</f>
        <v>2047</v>
      </c>
      <c r="I381" s="219">
        <f t="shared" si="21"/>
        <v>100</v>
      </c>
    </row>
    <row r="382" spans="2:9" x14ac:dyDescent="0.2">
      <c r="B382" s="108">
        <f t="shared" ref="B382:B387" si="22">B381+1</f>
        <v>376</v>
      </c>
      <c r="C382" s="68"/>
      <c r="D382" s="64">
        <v>292</v>
      </c>
      <c r="E382" s="69"/>
      <c r="F382" s="2" t="s">
        <v>182</v>
      </c>
      <c r="G382" s="238">
        <f>SUM(G383:G383)</f>
        <v>2047</v>
      </c>
      <c r="H382" s="17">
        <f>SUM(H383:H383)</f>
        <v>2047</v>
      </c>
      <c r="I382" s="219">
        <f t="shared" si="21"/>
        <v>100</v>
      </c>
    </row>
    <row r="383" spans="2:9" ht="13.5" thickBot="1" x14ac:dyDescent="0.25">
      <c r="B383" s="108">
        <f t="shared" si="22"/>
        <v>377</v>
      </c>
      <c r="C383" s="205"/>
      <c r="D383" s="207"/>
      <c r="E383" s="205">
        <v>292017</v>
      </c>
      <c r="F383" s="14" t="s">
        <v>237</v>
      </c>
      <c r="G383" s="240">
        <v>2047</v>
      </c>
      <c r="H383" s="253">
        <v>2047</v>
      </c>
      <c r="I383" s="219">
        <f t="shared" si="21"/>
        <v>100</v>
      </c>
    </row>
    <row r="384" spans="2:9" ht="15.75" thickBot="1" x14ac:dyDescent="0.3">
      <c r="B384" s="108">
        <f t="shared" si="22"/>
        <v>378</v>
      </c>
      <c r="C384" s="72">
        <v>12</v>
      </c>
      <c r="D384" s="141"/>
      <c r="E384" s="73"/>
      <c r="F384" s="9" t="s">
        <v>9</v>
      </c>
      <c r="G384" s="236">
        <f>G392+G388+G385</f>
        <v>166500</v>
      </c>
      <c r="H384" s="250">
        <f>H392+H388+H385</f>
        <v>155689</v>
      </c>
      <c r="I384" s="219">
        <f t="shared" si="21"/>
        <v>93.506906906906906</v>
      </c>
    </row>
    <row r="385" spans="2:9" x14ac:dyDescent="0.2">
      <c r="B385" s="108">
        <f t="shared" si="22"/>
        <v>379</v>
      </c>
      <c r="C385" s="66">
        <v>210</v>
      </c>
      <c r="D385" s="140"/>
      <c r="E385" s="67"/>
      <c r="F385" s="5" t="s">
        <v>250</v>
      </c>
      <c r="G385" s="237">
        <f>G386</f>
        <v>3000</v>
      </c>
      <c r="H385" s="251">
        <f>H386</f>
        <v>2116</v>
      </c>
      <c r="I385" s="219">
        <f t="shared" si="21"/>
        <v>70.533333333333331</v>
      </c>
    </row>
    <row r="386" spans="2:9" x14ac:dyDescent="0.2">
      <c r="B386" s="108">
        <f t="shared" si="22"/>
        <v>380</v>
      </c>
      <c r="C386" s="68"/>
      <c r="D386" s="64">
        <v>212</v>
      </c>
      <c r="E386" s="69"/>
      <c r="F386" s="2" t="s">
        <v>251</v>
      </c>
      <c r="G386" s="238">
        <f>G387</f>
        <v>3000</v>
      </c>
      <c r="H386" s="17">
        <f>H387</f>
        <v>2116</v>
      </c>
      <c r="I386" s="219">
        <f t="shared" si="21"/>
        <v>70.533333333333331</v>
      </c>
    </row>
    <row r="387" spans="2:9" x14ac:dyDescent="0.2">
      <c r="B387" s="108">
        <f t="shared" si="22"/>
        <v>381</v>
      </c>
      <c r="C387" s="70"/>
      <c r="D387" s="65"/>
      <c r="E387" s="71">
        <v>212003</v>
      </c>
      <c r="F387" s="3" t="s">
        <v>252</v>
      </c>
      <c r="G387" s="213">
        <v>3000</v>
      </c>
      <c r="H387" s="18">
        <v>2116</v>
      </c>
      <c r="I387" s="219">
        <f t="shared" si="21"/>
        <v>70.533333333333331</v>
      </c>
    </row>
    <row r="388" spans="2:9" x14ac:dyDescent="0.2">
      <c r="B388" s="108">
        <f t="shared" ref="B388:B476" si="23">B387+1</f>
        <v>382</v>
      </c>
      <c r="C388" s="66">
        <v>220</v>
      </c>
      <c r="D388" s="63"/>
      <c r="E388" s="67"/>
      <c r="F388" s="5" t="s">
        <v>225</v>
      </c>
      <c r="G388" s="237">
        <f>G389</f>
        <v>163000</v>
      </c>
      <c r="H388" s="251">
        <f>H389</f>
        <v>153573</v>
      </c>
      <c r="I388" s="219">
        <f t="shared" si="21"/>
        <v>94.216564417177921</v>
      </c>
    </row>
    <row r="389" spans="2:9" x14ac:dyDescent="0.2">
      <c r="B389" s="108">
        <f t="shared" si="23"/>
        <v>383</v>
      </c>
      <c r="C389" s="68"/>
      <c r="D389" s="64">
        <v>223</v>
      </c>
      <c r="E389" s="69"/>
      <c r="F389" s="2" t="s">
        <v>254</v>
      </c>
      <c r="G389" s="238">
        <f>G390+G391</f>
        <v>163000</v>
      </c>
      <c r="H389" s="17">
        <f>H390+H391</f>
        <v>153573</v>
      </c>
      <c r="I389" s="219">
        <f t="shared" si="21"/>
        <v>94.216564417177921</v>
      </c>
    </row>
    <row r="390" spans="2:9" x14ac:dyDescent="0.2">
      <c r="B390" s="108">
        <f t="shared" si="23"/>
        <v>384</v>
      </c>
      <c r="C390" s="70"/>
      <c r="D390" s="65"/>
      <c r="E390" s="71">
        <v>223002</v>
      </c>
      <c r="F390" s="3" t="s">
        <v>76</v>
      </c>
      <c r="G390" s="213">
        <v>14000</v>
      </c>
      <c r="H390" s="18">
        <v>9008</v>
      </c>
      <c r="I390" s="219">
        <f t="shared" si="21"/>
        <v>64.342857142857142</v>
      </c>
    </row>
    <row r="391" spans="2:9" x14ac:dyDescent="0.2">
      <c r="B391" s="108">
        <f t="shared" si="23"/>
        <v>385</v>
      </c>
      <c r="C391" s="70"/>
      <c r="D391" s="65"/>
      <c r="E391" s="71">
        <v>223003</v>
      </c>
      <c r="F391" s="11" t="s">
        <v>77</v>
      </c>
      <c r="G391" s="213">
        <v>149000</v>
      </c>
      <c r="H391" s="18">
        <v>144565</v>
      </c>
      <c r="I391" s="219">
        <f t="shared" si="21"/>
        <v>97.023489932885909</v>
      </c>
    </row>
    <row r="392" spans="2:9" x14ac:dyDescent="0.2">
      <c r="B392" s="108">
        <f t="shared" si="23"/>
        <v>386</v>
      </c>
      <c r="C392" s="66">
        <v>290</v>
      </c>
      <c r="D392" s="63"/>
      <c r="E392" s="67"/>
      <c r="F392" s="5" t="s">
        <v>181</v>
      </c>
      <c r="G392" s="237">
        <f>G393</f>
        <v>500</v>
      </c>
      <c r="H392" s="251">
        <f>H393</f>
        <v>0</v>
      </c>
      <c r="I392" s="219">
        <f t="shared" si="21"/>
        <v>0</v>
      </c>
    </row>
    <row r="393" spans="2:9" x14ac:dyDescent="0.2">
      <c r="B393" s="108">
        <f t="shared" si="23"/>
        <v>387</v>
      </c>
      <c r="C393" s="68"/>
      <c r="D393" s="64">
        <v>292</v>
      </c>
      <c r="E393" s="69"/>
      <c r="F393" s="2" t="s">
        <v>182</v>
      </c>
      <c r="G393" s="238">
        <f>G394</f>
        <v>500</v>
      </c>
      <c r="H393" s="17">
        <f>H394</f>
        <v>0</v>
      </c>
      <c r="I393" s="219">
        <f t="shared" si="21"/>
        <v>0</v>
      </c>
    </row>
    <row r="394" spans="2:9" ht="13.5" thickBot="1" x14ac:dyDescent="0.25">
      <c r="B394" s="108">
        <f t="shared" si="23"/>
        <v>388</v>
      </c>
      <c r="C394" s="70"/>
      <c r="D394" s="65"/>
      <c r="E394" s="71">
        <v>292012</v>
      </c>
      <c r="F394" s="3" t="s">
        <v>236</v>
      </c>
      <c r="G394" s="213">
        <v>500</v>
      </c>
      <c r="H394" s="18">
        <v>0</v>
      </c>
      <c r="I394" s="219">
        <f t="shared" si="21"/>
        <v>0</v>
      </c>
    </row>
    <row r="395" spans="2:9" ht="15.75" thickBot="1" x14ac:dyDescent="0.3">
      <c r="B395" s="108">
        <f t="shared" si="23"/>
        <v>389</v>
      </c>
      <c r="C395" s="72">
        <v>13</v>
      </c>
      <c r="D395" s="141"/>
      <c r="E395" s="73"/>
      <c r="F395" s="9" t="s">
        <v>19</v>
      </c>
      <c r="G395" s="236">
        <f>G404+G399+G396</f>
        <v>80300</v>
      </c>
      <c r="H395" s="250">
        <f>H404+H399+H396</f>
        <v>81952</v>
      </c>
      <c r="I395" s="219">
        <f t="shared" si="21"/>
        <v>102.05728518057285</v>
      </c>
    </row>
    <row r="396" spans="2:9" x14ac:dyDescent="0.2">
      <c r="B396" s="108">
        <f t="shared" si="23"/>
        <v>390</v>
      </c>
      <c r="C396" s="66">
        <v>210</v>
      </c>
      <c r="D396" s="140"/>
      <c r="E396" s="67"/>
      <c r="F396" s="5" t="s">
        <v>250</v>
      </c>
      <c r="G396" s="237">
        <f>G397</f>
        <v>6097</v>
      </c>
      <c r="H396" s="251">
        <f>H397</f>
        <v>6017</v>
      </c>
      <c r="I396" s="219">
        <f t="shared" si="21"/>
        <v>98.687879284894208</v>
      </c>
    </row>
    <row r="397" spans="2:9" x14ac:dyDescent="0.2">
      <c r="B397" s="108">
        <f t="shared" si="23"/>
        <v>391</v>
      </c>
      <c r="C397" s="68"/>
      <c r="D397" s="64">
        <v>212</v>
      </c>
      <c r="E397" s="69"/>
      <c r="F397" s="2" t="s">
        <v>251</v>
      </c>
      <c r="G397" s="238">
        <f>G398</f>
        <v>6097</v>
      </c>
      <c r="H397" s="17">
        <f>H398</f>
        <v>6017</v>
      </c>
      <c r="I397" s="219">
        <f t="shared" si="21"/>
        <v>98.687879284894208</v>
      </c>
    </row>
    <row r="398" spans="2:9" x14ac:dyDescent="0.2">
      <c r="B398" s="108">
        <f t="shared" si="23"/>
        <v>392</v>
      </c>
      <c r="C398" s="70"/>
      <c r="D398" s="65"/>
      <c r="E398" s="71">
        <v>212003</v>
      </c>
      <c r="F398" s="3" t="s">
        <v>252</v>
      </c>
      <c r="G398" s="213">
        <v>6097</v>
      </c>
      <c r="H398" s="18">
        <v>6017</v>
      </c>
      <c r="I398" s="219">
        <f t="shared" si="21"/>
        <v>98.687879284894208</v>
      </c>
    </row>
    <row r="399" spans="2:9" x14ac:dyDescent="0.2">
      <c r="B399" s="108">
        <f t="shared" si="23"/>
        <v>393</v>
      </c>
      <c r="C399" s="66">
        <v>220</v>
      </c>
      <c r="D399" s="63"/>
      <c r="E399" s="67"/>
      <c r="F399" s="5" t="s">
        <v>225</v>
      </c>
      <c r="G399" s="237">
        <f>G400</f>
        <v>74200</v>
      </c>
      <c r="H399" s="251">
        <f>H400</f>
        <v>75935</v>
      </c>
      <c r="I399" s="219">
        <f t="shared" si="21"/>
        <v>102.33827493261455</v>
      </c>
    </row>
    <row r="400" spans="2:9" x14ac:dyDescent="0.2">
      <c r="B400" s="108">
        <f t="shared" si="23"/>
        <v>394</v>
      </c>
      <c r="C400" s="68"/>
      <c r="D400" s="64">
        <v>223</v>
      </c>
      <c r="E400" s="69"/>
      <c r="F400" s="2" t="s">
        <v>254</v>
      </c>
      <c r="G400" s="238">
        <f>G403+G402+G401</f>
        <v>74200</v>
      </c>
      <c r="H400" s="17">
        <f>H403+H402+H401</f>
        <v>75935</v>
      </c>
      <c r="I400" s="219">
        <f t="shared" si="21"/>
        <v>102.33827493261455</v>
      </c>
    </row>
    <row r="401" spans="2:9" x14ac:dyDescent="0.2">
      <c r="B401" s="108">
        <f t="shared" si="23"/>
        <v>395</v>
      </c>
      <c r="C401" s="70"/>
      <c r="D401" s="65"/>
      <c r="E401" s="71">
        <v>223001</v>
      </c>
      <c r="F401" s="3" t="s">
        <v>255</v>
      </c>
      <c r="G401" s="213">
        <v>9000</v>
      </c>
      <c r="H401" s="18">
        <v>9268</v>
      </c>
      <c r="I401" s="219">
        <f t="shared" si="21"/>
        <v>102.97777777777777</v>
      </c>
    </row>
    <row r="402" spans="2:9" x14ac:dyDescent="0.2">
      <c r="B402" s="108">
        <f t="shared" si="23"/>
        <v>396</v>
      </c>
      <c r="C402" s="70"/>
      <c r="D402" s="65"/>
      <c r="E402" s="71">
        <v>223002</v>
      </c>
      <c r="F402" s="3" t="s">
        <v>76</v>
      </c>
      <c r="G402" s="213">
        <f>4400+800</f>
        <v>5200</v>
      </c>
      <c r="H402" s="18">
        <v>5320</v>
      </c>
      <c r="I402" s="219">
        <f t="shared" si="21"/>
        <v>102.30769230769229</v>
      </c>
    </row>
    <row r="403" spans="2:9" x14ac:dyDescent="0.2">
      <c r="B403" s="108">
        <f t="shared" si="23"/>
        <v>397</v>
      </c>
      <c r="C403" s="70"/>
      <c r="D403" s="65"/>
      <c r="E403" s="71">
        <v>223003</v>
      </c>
      <c r="F403" s="50" t="s">
        <v>77</v>
      </c>
      <c r="G403" s="213">
        <v>60000</v>
      </c>
      <c r="H403" s="18">
        <v>61347</v>
      </c>
      <c r="I403" s="219">
        <f t="shared" ref="I403:I479" si="24">H403/G403*100</f>
        <v>102.245</v>
      </c>
    </row>
    <row r="404" spans="2:9" x14ac:dyDescent="0.2">
      <c r="B404" s="108">
        <f t="shared" si="23"/>
        <v>398</v>
      </c>
      <c r="C404" s="66">
        <v>240</v>
      </c>
      <c r="D404" s="63"/>
      <c r="E404" s="67"/>
      <c r="F404" s="5" t="s">
        <v>179</v>
      </c>
      <c r="G404" s="237">
        <f>G405</f>
        <v>3</v>
      </c>
      <c r="H404" s="251">
        <f>H405</f>
        <v>0</v>
      </c>
      <c r="I404" s="219">
        <f t="shared" si="24"/>
        <v>0</v>
      </c>
    </row>
    <row r="405" spans="2:9" x14ac:dyDescent="0.2">
      <c r="B405" s="108">
        <f t="shared" si="23"/>
        <v>399</v>
      </c>
      <c r="C405" s="68"/>
      <c r="D405" s="64">
        <v>242</v>
      </c>
      <c r="E405" s="69"/>
      <c r="F405" s="2" t="s">
        <v>178</v>
      </c>
      <c r="G405" s="238">
        <f>G406</f>
        <v>3</v>
      </c>
      <c r="H405" s="17">
        <f>H406</f>
        <v>0</v>
      </c>
      <c r="I405" s="219">
        <f t="shared" si="24"/>
        <v>0</v>
      </c>
    </row>
    <row r="406" spans="2:9" ht="13.5" thickBot="1" x14ac:dyDescent="0.25">
      <c r="B406" s="108">
        <f t="shared" si="23"/>
        <v>400</v>
      </c>
      <c r="C406" s="70"/>
      <c r="D406" s="65"/>
      <c r="E406" s="71">
        <v>242</v>
      </c>
      <c r="F406" s="3" t="s">
        <v>178</v>
      </c>
      <c r="G406" s="213">
        <v>3</v>
      </c>
      <c r="H406" s="18">
        <v>0</v>
      </c>
      <c r="I406" s="219">
        <f t="shared" si="24"/>
        <v>0</v>
      </c>
    </row>
    <row r="407" spans="2:9" ht="15.75" thickBot="1" x14ac:dyDescent="0.3">
      <c r="B407" s="108">
        <f t="shared" si="23"/>
        <v>401</v>
      </c>
      <c r="C407" s="72">
        <v>14</v>
      </c>
      <c r="D407" s="141"/>
      <c r="E407" s="73"/>
      <c r="F407" s="9" t="s">
        <v>3</v>
      </c>
      <c r="G407" s="236">
        <f>G414+G411+G408+G417</f>
        <v>90773</v>
      </c>
      <c r="H407" s="250">
        <f>H414+H411+H408+H417</f>
        <v>91265</v>
      </c>
      <c r="I407" s="219">
        <f t="shared" si="24"/>
        <v>100.54201139105241</v>
      </c>
    </row>
    <row r="408" spans="2:9" x14ac:dyDescent="0.2">
      <c r="B408" s="108">
        <f t="shared" si="23"/>
        <v>402</v>
      </c>
      <c r="C408" s="66">
        <v>210</v>
      </c>
      <c r="D408" s="140"/>
      <c r="E408" s="67"/>
      <c r="F408" s="5" t="s">
        <v>250</v>
      </c>
      <c r="G408" s="237">
        <f>G409</f>
        <v>135</v>
      </c>
      <c r="H408" s="251">
        <f>H409</f>
        <v>173</v>
      </c>
      <c r="I408" s="219">
        <f t="shared" si="24"/>
        <v>128.14814814814815</v>
      </c>
    </row>
    <row r="409" spans="2:9" x14ac:dyDescent="0.2">
      <c r="B409" s="108">
        <f t="shared" si="23"/>
        <v>403</v>
      </c>
      <c r="C409" s="68"/>
      <c r="D409" s="64">
        <v>212</v>
      </c>
      <c r="E409" s="69"/>
      <c r="F409" s="2" t="s">
        <v>251</v>
      </c>
      <c r="G409" s="238">
        <f>G410</f>
        <v>135</v>
      </c>
      <c r="H409" s="17">
        <f>H410</f>
        <v>173</v>
      </c>
      <c r="I409" s="219">
        <f t="shared" si="24"/>
        <v>128.14814814814815</v>
      </c>
    </row>
    <row r="410" spans="2:9" x14ac:dyDescent="0.2">
      <c r="B410" s="108">
        <f t="shared" si="23"/>
        <v>404</v>
      </c>
      <c r="C410" s="70"/>
      <c r="D410" s="65"/>
      <c r="E410" s="71">
        <v>212003</v>
      </c>
      <c r="F410" s="3" t="s">
        <v>252</v>
      </c>
      <c r="G410" s="213">
        <v>135</v>
      </c>
      <c r="H410" s="18">
        <v>173</v>
      </c>
      <c r="I410" s="219">
        <f t="shared" si="24"/>
        <v>128.14814814814815</v>
      </c>
    </row>
    <row r="411" spans="2:9" x14ac:dyDescent="0.2">
      <c r="B411" s="108">
        <f t="shared" si="23"/>
        <v>405</v>
      </c>
      <c r="C411" s="66">
        <v>220</v>
      </c>
      <c r="D411" s="63"/>
      <c r="E411" s="67"/>
      <c r="F411" s="5" t="s">
        <v>225</v>
      </c>
      <c r="G411" s="237">
        <f>G412</f>
        <v>86660</v>
      </c>
      <c r="H411" s="251">
        <f>H412</f>
        <v>87071</v>
      </c>
      <c r="I411" s="219">
        <f t="shared" si="24"/>
        <v>100.47426725132702</v>
      </c>
    </row>
    <row r="412" spans="2:9" x14ac:dyDescent="0.2">
      <c r="B412" s="108">
        <f t="shared" si="23"/>
        <v>406</v>
      </c>
      <c r="C412" s="68"/>
      <c r="D412" s="64">
        <v>223</v>
      </c>
      <c r="E412" s="69"/>
      <c r="F412" s="2" t="s">
        <v>254</v>
      </c>
      <c r="G412" s="238">
        <f>G413</f>
        <v>86660</v>
      </c>
      <c r="H412" s="17">
        <f>H413</f>
        <v>87071</v>
      </c>
      <c r="I412" s="219">
        <f t="shared" si="24"/>
        <v>100.47426725132702</v>
      </c>
    </row>
    <row r="413" spans="2:9" x14ac:dyDescent="0.2">
      <c r="B413" s="108">
        <f t="shared" si="23"/>
        <v>407</v>
      </c>
      <c r="C413" s="70"/>
      <c r="D413" s="65"/>
      <c r="E413" s="71">
        <v>223002</v>
      </c>
      <c r="F413" s="3" t="s">
        <v>76</v>
      </c>
      <c r="G413" s="213">
        <v>86660</v>
      </c>
      <c r="H413" s="18">
        <v>87071</v>
      </c>
      <c r="I413" s="219">
        <f t="shared" si="24"/>
        <v>100.47426725132702</v>
      </c>
    </row>
    <row r="414" spans="2:9" x14ac:dyDescent="0.2">
      <c r="B414" s="108">
        <f t="shared" si="23"/>
        <v>408</v>
      </c>
      <c r="C414" s="66">
        <v>240</v>
      </c>
      <c r="D414" s="63"/>
      <c r="E414" s="67"/>
      <c r="F414" s="5" t="s">
        <v>179</v>
      </c>
      <c r="G414" s="237">
        <f>G415</f>
        <v>5</v>
      </c>
      <c r="H414" s="251">
        <f>H415</f>
        <v>0</v>
      </c>
      <c r="I414" s="219">
        <f t="shared" si="24"/>
        <v>0</v>
      </c>
    </row>
    <row r="415" spans="2:9" x14ac:dyDescent="0.2">
      <c r="B415" s="108">
        <f t="shared" si="23"/>
        <v>409</v>
      </c>
      <c r="C415" s="68"/>
      <c r="D415" s="64">
        <v>242</v>
      </c>
      <c r="E415" s="69"/>
      <c r="F415" s="2" t="s">
        <v>178</v>
      </c>
      <c r="G415" s="238">
        <f>G416</f>
        <v>5</v>
      </c>
      <c r="H415" s="17">
        <f>H416</f>
        <v>0</v>
      </c>
      <c r="I415" s="219">
        <f t="shared" si="24"/>
        <v>0</v>
      </c>
    </row>
    <row r="416" spans="2:9" x14ac:dyDescent="0.2">
      <c r="B416" s="108">
        <f t="shared" si="23"/>
        <v>410</v>
      </c>
      <c r="C416" s="70"/>
      <c r="D416" s="65"/>
      <c r="E416" s="71">
        <v>242</v>
      </c>
      <c r="F416" s="3" t="s">
        <v>178</v>
      </c>
      <c r="G416" s="213">
        <v>5</v>
      </c>
      <c r="H416" s="18">
        <v>0</v>
      </c>
      <c r="I416" s="219">
        <f t="shared" si="24"/>
        <v>0</v>
      </c>
    </row>
    <row r="417" spans="2:9" x14ac:dyDescent="0.2">
      <c r="B417" s="108">
        <f t="shared" si="23"/>
        <v>411</v>
      </c>
      <c r="C417" s="66">
        <v>290</v>
      </c>
      <c r="D417" s="63"/>
      <c r="E417" s="67"/>
      <c r="F417" s="5" t="s">
        <v>181</v>
      </c>
      <c r="G417" s="237">
        <f>G418</f>
        <v>3973</v>
      </c>
      <c r="H417" s="251">
        <f>H418</f>
        <v>4021</v>
      </c>
      <c r="I417" s="219">
        <f t="shared" si="24"/>
        <v>101.20815504656431</v>
      </c>
    </row>
    <row r="418" spans="2:9" x14ac:dyDescent="0.2">
      <c r="B418" s="108">
        <f t="shared" si="23"/>
        <v>412</v>
      </c>
      <c r="C418" s="68"/>
      <c r="D418" s="64">
        <v>292</v>
      </c>
      <c r="E418" s="69"/>
      <c r="F418" s="2" t="s">
        <v>182</v>
      </c>
      <c r="G418" s="238">
        <f>SUM(G420:G420)</f>
        <v>3973</v>
      </c>
      <c r="H418" s="17">
        <f>H419+H420</f>
        <v>4021</v>
      </c>
      <c r="I418" s="219">
        <f t="shared" si="24"/>
        <v>101.20815504656431</v>
      </c>
    </row>
    <row r="419" spans="2:9" x14ac:dyDescent="0.2">
      <c r="B419" s="108">
        <f t="shared" si="23"/>
        <v>413</v>
      </c>
      <c r="C419" s="68"/>
      <c r="D419" s="64"/>
      <c r="E419" s="71">
        <v>292012</v>
      </c>
      <c r="F419" s="3" t="s">
        <v>236</v>
      </c>
      <c r="G419" s="213">
        <v>0</v>
      </c>
      <c r="H419" s="18">
        <v>48</v>
      </c>
      <c r="I419" s="219">
        <v>0</v>
      </c>
    </row>
    <row r="420" spans="2:9" ht="13.5" thickBot="1" x14ac:dyDescent="0.25">
      <c r="B420" s="108">
        <f t="shared" si="23"/>
        <v>414</v>
      </c>
      <c r="C420" s="405"/>
      <c r="D420" s="139"/>
      <c r="E420" s="406">
        <v>292017</v>
      </c>
      <c r="F420" s="188" t="s">
        <v>237</v>
      </c>
      <c r="G420" s="247">
        <v>3973</v>
      </c>
      <c r="H420" s="254">
        <v>3973</v>
      </c>
      <c r="I420" s="407">
        <f t="shared" si="24"/>
        <v>100</v>
      </c>
    </row>
    <row r="421" spans="2:9" ht="16.5" thickBot="1" x14ac:dyDescent="0.3">
      <c r="B421" s="108">
        <f t="shared" si="23"/>
        <v>415</v>
      </c>
      <c r="C421" s="414">
        <v>300</v>
      </c>
      <c r="D421" s="415"/>
      <c r="E421" s="416"/>
      <c r="F421" s="417" t="s">
        <v>228</v>
      </c>
      <c r="G421" s="418">
        <f>G468+G422+G464+G473+G476+G479+G483+G487+G490+G493</f>
        <v>9026364</v>
      </c>
      <c r="H421" s="419">
        <f>H468+H422+H464+H473+H476+H479+H483+H487+H490+H493</f>
        <v>8887986</v>
      </c>
      <c r="I421" s="420">
        <f t="shared" si="24"/>
        <v>98.466957459282611</v>
      </c>
    </row>
    <row r="422" spans="2:9" ht="15.75" thickBot="1" x14ac:dyDescent="0.3">
      <c r="B422" s="108">
        <f t="shared" si="23"/>
        <v>416</v>
      </c>
      <c r="C422" s="408"/>
      <c r="D422" s="409"/>
      <c r="E422" s="410"/>
      <c r="F422" s="411" t="s">
        <v>43</v>
      </c>
      <c r="G422" s="412">
        <f>G423</f>
        <v>8673997</v>
      </c>
      <c r="H422" s="413">
        <f>H423</f>
        <v>8597822</v>
      </c>
      <c r="I422" s="257">
        <f t="shared" si="24"/>
        <v>99.121800480216905</v>
      </c>
    </row>
    <row r="423" spans="2:9" x14ac:dyDescent="0.2">
      <c r="B423" s="108">
        <f t="shared" si="23"/>
        <v>417</v>
      </c>
      <c r="C423" s="66">
        <v>310</v>
      </c>
      <c r="D423" s="140"/>
      <c r="E423" s="67"/>
      <c r="F423" s="5" t="s">
        <v>229</v>
      </c>
      <c r="G423" s="237">
        <f>G426+G424+G425</f>
        <v>8673997</v>
      </c>
      <c r="H423" s="251">
        <f>H426+H424+H425</f>
        <v>8597822</v>
      </c>
      <c r="I423" s="219">
        <f t="shared" si="24"/>
        <v>99.121800480216905</v>
      </c>
    </row>
    <row r="424" spans="2:9" x14ac:dyDescent="0.2">
      <c r="B424" s="108">
        <f t="shared" si="23"/>
        <v>418</v>
      </c>
      <c r="C424" s="68"/>
      <c r="D424" s="64">
        <v>311</v>
      </c>
      <c r="E424" s="69"/>
      <c r="F424" s="2" t="s">
        <v>613</v>
      </c>
      <c r="G424" s="238">
        <v>4400</v>
      </c>
      <c r="H424" s="17">
        <v>4375</v>
      </c>
      <c r="I424" s="219">
        <f t="shared" si="24"/>
        <v>99.431818181818173</v>
      </c>
    </row>
    <row r="425" spans="2:9" x14ac:dyDescent="0.2">
      <c r="B425" s="108">
        <f t="shared" si="23"/>
        <v>419</v>
      </c>
      <c r="C425" s="68"/>
      <c r="D425" s="64">
        <v>311</v>
      </c>
      <c r="E425" s="69"/>
      <c r="F425" s="2" t="s">
        <v>620</v>
      </c>
      <c r="G425" s="238">
        <v>500</v>
      </c>
      <c r="H425" s="17">
        <v>500</v>
      </c>
      <c r="I425" s="219">
        <f t="shared" si="24"/>
        <v>100</v>
      </c>
    </row>
    <row r="426" spans="2:9" x14ac:dyDescent="0.2">
      <c r="B426" s="108">
        <f t="shared" si="23"/>
        <v>420</v>
      </c>
      <c r="C426" s="68"/>
      <c r="D426" s="64">
        <v>312</v>
      </c>
      <c r="E426" s="69"/>
      <c r="F426" s="2" t="s">
        <v>195</v>
      </c>
      <c r="G426" s="238">
        <f>G427+G446</f>
        <v>8669097</v>
      </c>
      <c r="H426" s="17">
        <f>H427+H446</f>
        <v>8592947</v>
      </c>
      <c r="I426" s="219">
        <f t="shared" si="24"/>
        <v>99.121592479585814</v>
      </c>
    </row>
    <row r="427" spans="2:9" x14ac:dyDescent="0.2">
      <c r="B427" s="108">
        <f t="shared" si="23"/>
        <v>421</v>
      </c>
      <c r="C427" s="70"/>
      <c r="D427" s="65"/>
      <c r="E427" s="71">
        <v>312001</v>
      </c>
      <c r="F427" s="3" t="s">
        <v>400</v>
      </c>
      <c r="G427" s="213">
        <f>SUM(G428:G445)</f>
        <v>932338</v>
      </c>
      <c r="H427" s="18">
        <f>SUM(H428:H445)</f>
        <v>950138</v>
      </c>
      <c r="I427" s="219">
        <f t="shared" si="24"/>
        <v>101.90917886002715</v>
      </c>
    </row>
    <row r="428" spans="2:9" x14ac:dyDescent="0.2">
      <c r="B428" s="108">
        <f t="shared" si="23"/>
        <v>422</v>
      </c>
      <c r="C428" s="12"/>
      <c r="D428" s="4"/>
      <c r="E428" s="13"/>
      <c r="F428" s="4" t="s">
        <v>287</v>
      </c>
      <c r="G428" s="214">
        <f>833280-48700</f>
        <v>784580</v>
      </c>
      <c r="H428" s="20">
        <v>784638</v>
      </c>
      <c r="I428" s="219">
        <f t="shared" si="24"/>
        <v>100.00739249024957</v>
      </c>
    </row>
    <row r="429" spans="2:9" x14ac:dyDescent="0.2">
      <c r="B429" s="108">
        <f t="shared" si="23"/>
        <v>423</v>
      </c>
      <c r="C429" s="12"/>
      <c r="D429" s="4"/>
      <c r="E429" s="13"/>
      <c r="F429" s="4" t="s">
        <v>288</v>
      </c>
      <c r="G429" s="214">
        <f>7900+8526</f>
        <v>16426</v>
      </c>
      <c r="H429" s="20">
        <v>8525</v>
      </c>
      <c r="I429" s="219">
        <f t="shared" si="24"/>
        <v>51.899427736515278</v>
      </c>
    </row>
    <row r="430" spans="2:9" x14ac:dyDescent="0.2">
      <c r="B430" s="108">
        <f t="shared" si="23"/>
        <v>424</v>
      </c>
      <c r="C430" s="12"/>
      <c r="D430" s="4"/>
      <c r="E430" s="13"/>
      <c r="F430" s="4" t="s">
        <v>286</v>
      </c>
      <c r="G430" s="214">
        <v>14000</v>
      </c>
      <c r="H430" s="21">
        <v>6659</v>
      </c>
      <c r="I430" s="219">
        <f t="shared" si="24"/>
        <v>47.564285714285717</v>
      </c>
    </row>
    <row r="431" spans="2:9" x14ac:dyDescent="0.2">
      <c r="B431" s="108">
        <f t="shared" si="23"/>
        <v>425</v>
      </c>
      <c r="C431" s="12"/>
      <c r="D431" s="4"/>
      <c r="E431" s="13"/>
      <c r="F431" s="4" t="s">
        <v>671</v>
      </c>
      <c r="G431" s="214"/>
      <c r="H431" s="21">
        <f>219+39</f>
        <v>258</v>
      </c>
      <c r="I431" s="219"/>
    </row>
    <row r="432" spans="2:9" x14ac:dyDescent="0.2">
      <c r="B432" s="108">
        <f t="shared" si="23"/>
        <v>426</v>
      </c>
      <c r="C432" s="12"/>
      <c r="D432" s="4"/>
      <c r="E432" s="13"/>
      <c r="F432" s="4" t="s">
        <v>376</v>
      </c>
      <c r="G432" s="214">
        <f>55000-30000+6000</f>
        <v>31000</v>
      </c>
      <c r="H432" s="21">
        <f>11413+1343</f>
        <v>12756</v>
      </c>
      <c r="I432" s="219">
        <f t="shared" si="24"/>
        <v>41.148387096774194</v>
      </c>
    </row>
    <row r="433" spans="2:9" x14ac:dyDescent="0.2">
      <c r="B433" s="108">
        <f t="shared" si="23"/>
        <v>427</v>
      </c>
      <c r="C433" s="12"/>
      <c r="D433" s="4"/>
      <c r="E433" s="13"/>
      <c r="F433" s="4" t="s">
        <v>565</v>
      </c>
      <c r="G433" s="220">
        <v>9000</v>
      </c>
      <c r="H433" s="154">
        <v>9000</v>
      </c>
      <c r="I433" s="219">
        <f t="shared" si="24"/>
        <v>100</v>
      </c>
    </row>
    <row r="434" spans="2:9" x14ac:dyDescent="0.2">
      <c r="B434" s="108">
        <f t="shared" si="23"/>
        <v>428</v>
      </c>
      <c r="C434" s="12"/>
      <c r="D434" s="4"/>
      <c r="E434" s="13"/>
      <c r="F434" s="4" t="s">
        <v>669</v>
      </c>
      <c r="G434" s="220"/>
      <c r="H434" s="154">
        <v>57600</v>
      </c>
      <c r="I434" s="219"/>
    </row>
    <row r="435" spans="2:9" x14ac:dyDescent="0.2">
      <c r="B435" s="108">
        <f t="shared" si="23"/>
        <v>429</v>
      </c>
      <c r="C435" s="12"/>
      <c r="D435" s="4"/>
      <c r="E435" s="13"/>
      <c r="F435" s="4" t="s">
        <v>670</v>
      </c>
      <c r="G435" s="220"/>
      <c r="H435" s="154">
        <v>44400</v>
      </c>
      <c r="I435" s="219"/>
    </row>
    <row r="436" spans="2:9" x14ac:dyDescent="0.2">
      <c r="B436" s="108">
        <f t="shared" si="23"/>
        <v>430</v>
      </c>
      <c r="C436" s="12"/>
      <c r="D436" s="4"/>
      <c r="E436" s="13"/>
      <c r="F436" s="4" t="s">
        <v>627</v>
      </c>
      <c r="G436" s="220">
        <v>15000</v>
      </c>
      <c r="H436" s="154">
        <v>15000</v>
      </c>
      <c r="I436" s="219">
        <f t="shared" si="24"/>
        <v>100</v>
      </c>
    </row>
    <row r="437" spans="2:9" s="41" customFormat="1" x14ac:dyDescent="0.2">
      <c r="B437" s="194">
        <f t="shared" si="23"/>
        <v>431</v>
      </c>
      <c r="C437" s="137"/>
      <c r="D437" s="134"/>
      <c r="E437" s="359"/>
      <c r="F437" s="134" t="s">
        <v>628</v>
      </c>
      <c r="G437" s="220">
        <v>8565</v>
      </c>
      <c r="H437" s="136">
        <v>0</v>
      </c>
      <c r="I437" s="349">
        <f t="shared" si="24"/>
        <v>0</v>
      </c>
    </row>
    <row r="438" spans="2:9" s="41" customFormat="1" x14ac:dyDescent="0.2">
      <c r="B438" s="194">
        <f t="shared" si="23"/>
        <v>432</v>
      </c>
      <c r="C438" s="137"/>
      <c r="D438" s="134"/>
      <c r="E438" s="359"/>
      <c r="F438" s="134" t="s">
        <v>629</v>
      </c>
      <c r="G438" s="220">
        <v>5916</v>
      </c>
      <c r="H438" s="136">
        <v>0</v>
      </c>
      <c r="I438" s="349">
        <f t="shared" si="24"/>
        <v>0</v>
      </c>
    </row>
    <row r="439" spans="2:9" s="41" customFormat="1" ht="22.5" x14ac:dyDescent="0.2">
      <c r="B439" s="194">
        <f t="shared" si="23"/>
        <v>433</v>
      </c>
      <c r="C439" s="137"/>
      <c r="D439" s="134"/>
      <c r="E439" s="359"/>
      <c r="F439" s="153" t="s">
        <v>630</v>
      </c>
      <c r="G439" s="220">
        <v>3286</v>
      </c>
      <c r="H439" s="136">
        <v>0</v>
      </c>
      <c r="I439" s="349">
        <f t="shared" si="24"/>
        <v>0</v>
      </c>
    </row>
    <row r="440" spans="2:9" s="41" customFormat="1" ht="22.5" x14ac:dyDescent="0.2">
      <c r="B440" s="194">
        <f t="shared" si="23"/>
        <v>434</v>
      </c>
      <c r="C440" s="137"/>
      <c r="D440" s="134"/>
      <c r="E440" s="359"/>
      <c r="F440" s="153" t="s">
        <v>631</v>
      </c>
      <c r="G440" s="220">
        <v>4724</v>
      </c>
      <c r="H440" s="136">
        <v>0</v>
      </c>
      <c r="I440" s="349">
        <f t="shared" si="24"/>
        <v>0</v>
      </c>
    </row>
    <row r="441" spans="2:9" s="41" customFormat="1" ht="33.75" x14ac:dyDescent="0.2">
      <c r="B441" s="194">
        <f t="shared" si="23"/>
        <v>435</v>
      </c>
      <c r="C441" s="137"/>
      <c r="D441" s="134"/>
      <c r="E441" s="359"/>
      <c r="F441" s="153" t="s">
        <v>632</v>
      </c>
      <c r="G441" s="220">
        <v>7692</v>
      </c>
      <c r="H441" s="136">
        <v>0</v>
      </c>
      <c r="I441" s="349">
        <f t="shared" si="24"/>
        <v>0</v>
      </c>
    </row>
    <row r="442" spans="2:9" s="41" customFormat="1" x14ac:dyDescent="0.2">
      <c r="B442" s="194">
        <f t="shared" si="23"/>
        <v>436</v>
      </c>
      <c r="C442" s="137"/>
      <c r="D442" s="134"/>
      <c r="E442" s="359"/>
      <c r="F442" s="134" t="s">
        <v>633</v>
      </c>
      <c r="G442" s="220">
        <v>21069</v>
      </c>
      <c r="H442" s="136">
        <v>0</v>
      </c>
      <c r="I442" s="349">
        <f t="shared" si="24"/>
        <v>0</v>
      </c>
    </row>
    <row r="443" spans="2:9" s="41" customFormat="1" x14ac:dyDescent="0.2">
      <c r="B443" s="194">
        <f t="shared" si="23"/>
        <v>437</v>
      </c>
      <c r="C443" s="137"/>
      <c r="D443" s="134"/>
      <c r="E443" s="359"/>
      <c r="F443" s="134" t="s">
        <v>646</v>
      </c>
      <c r="G443" s="220">
        <f>880+3500</f>
        <v>4380</v>
      </c>
      <c r="H443" s="136">
        <f>764+3838</f>
        <v>4602</v>
      </c>
      <c r="I443" s="349">
        <f t="shared" si="24"/>
        <v>105.06849315068494</v>
      </c>
    </row>
    <row r="444" spans="2:9" s="41" customFormat="1" x14ac:dyDescent="0.2">
      <c r="B444" s="194">
        <f t="shared" si="23"/>
        <v>438</v>
      </c>
      <c r="C444" s="137"/>
      <c r="D444" s="134"/>
      <c r="E444" s="359"/>
      <c r="F444" s="134" t="s">
        <v>651</v>
      </c>
      <c r="G444" s="220">
        <v>4700</v>
      </c>
      <c r="H444" s="136">
        <v>4700</v>
      </c>
      <c r="I444" s="349">
        <f t="shared" si="24"/>
        <v>100</v>
      </c>
    </row>
    <row r="445" spans="2:9" s="41" customFormat="1" ht="22.5" x14ac:dyDescent="0.2">
      <c r="B445" s="194">
        <f t="shared" si="23"/>
        <v>439</v>
      </c>
      <c r="C445" s="137"/>
      <c r="D445" s="134"/>
      <c r="E445" s="359"/>
      <c r="F445" s="153" t="s">
        <v>656</v>
      </c>
      <c r="G445" s="220">
        <v>2000</v>
      </c>
      <c r="H445" s="136">
        <v>2000</v>
      </c>
      <c r="I445" s="349">
        <f t="shared" si="24"/>
        <v>100</v>
      </c>
    </row>
    <row r="446" spans="2:9" s="41" customFormat="1" x14ac:dyDescent="0.2">
      <c r="B446" s="194">
        <f t="shared" si="23"/>
        <v>440</v>
      </c>
      <c r="C446" s="360"/>
      <c r="D446" s="361"/>
      <c r="E446" s="362">
        <v>312012</v>
      </c>
      <c r="F446" s="46" t="s">
        <v>399</v>
      </c>
      <c r="G446" s="244">
        <f>SUM(G447:G463)</f>
        <v>7736759</v>
      </c>
      <c r="H446" s="49">
        <f>SUM(H447:H463)</f>
        <v>7642809</v>
      </c>
      <c r="I446" s="349">
        <f t="shared" si="24"/>
        <v>98.785667228357511</v>
      </c>
    </row>
    <row r="447" spans="2:9" s="41" customFormat="1" x14ac:dyDescent="0.2">
      <c r="B447" s="194">
        <f t="shared" si="23"/>
        <v>441</v>
      </c>
      <c r="C447" s="137"/>
      <c r="D447" s="134"/>
      <c r="E447" s="359"/>
      <c r="F447" s="134" t="s">
        <v>700</v>
      </c>
      <c r="G447" s="220">
        <f>7366500-54227-5932+16578+59720</f>
        <v>7382639</v>
      </c>
      <c r="H447" s="136">
        <f>7078622</f>
        <v>7078622</v>
      </c>
      <c r="I447" s="349">
        <f t="shared" si="24"/>
        <v>95.882001002622502</v>
      </c>
    </row>
    <row r="448" spans="2:9" s="41" customFormat="1" x14ac:dyDescent="0.2">
      <c r="B448" s="194">
        <f t="shared" si="23"/>
        <v>442</v>
      </c>
      <c r="C448" s="137"/>
      <c r="D448" s="134"/>
      <c r="E448" s="359"/>
      <c r="F448" s="134" t="s">
        <v>701</v>
      </c>
      <c r="G448" s="220">
        <f>86935-554-2172</f>
        <v>84209</v>
      </c>
      <c r="H448" s="136">
        <v>84152</v>
      </c>
      <c r="I448" s="349">
        <f t="shared" si="24"/>
        <v>99.932311273141821</v>
      </c>
    </row>
    <row r="449" spans="2:9" s="41" customFormat="1" x14ac:dyDescent="0.2">
      <c r="B449" s="194">
        <f t="shared" si="23"/>
        <v>443</v>
      </c>
      <c r="C449" s="137"/>
      <c r="D449" s="134"/>
      <c r="E449" s="359"/>
      <c r="F449" s="134" t="s">
        <v>702</v>
      </c>
      <c r="G449" s="220">
        <f>98600+1755</f>
        <v>100355</v>
      </c>
      <c r="H449" s="136">
        <v>100356</v>
      </c>
      <c r="I449" s="349">
        <f t="shared" si="24"/>
        <v>100.00099646255791</v>
      </c>
    </row>
    <row r="450" spans="2:9" s="41" customFormat="1" x14ac:dyDescent="0.2">
      <c r="B450" s="194">
        <f t="shared" si="23"/>
        <v>444</v>
      </c>
      <c r="C450" s="137"/>
      <c r="D450" s="134"/>
      <c r="E450" s="359"/>
      <c r="F450" s="134" t="s">
        <v>703</v>
      </c>
      <c r="G450" s="220">
        <v>52000</v>
      </c>
      <c r="H450" s="136">
        <v>61708</v>
      </c>
      <c r="I450" s="349">
        <f t="shared" si="24"/>
        <v>118.66923076923077</v>
      </c>
    </row>
    <row r="451" spans="2:9" s="41" customFormat="1" x14ac:dyDescent="0.2">
      <c r="B451" s="194">
        <f t="shared" si="23"/>
        <v>445</v>
      </c>
      <c r="C451" s="137"/>
      <c r="D451" s="134"/>
      <c r="E451" s="359"/>
      <c r="F451" s="134" t="s">
        <v>704</v>
      </c>
      <c r="G451" s="220">
        <v>0</v>
      </c>
      <c r="H451" s="136">
        <v>2402</v>
      </c>
      <c r="I451" s="349">
        <v>0</v>
      </c>
    </row>
    <row r="452" spans="2:9" x14ac:dyDescent="0.2">
      <c r="B452" s="194">
        <f t="shared" si="23"/>
        <v>446</v>
      </c>
      <c r="C452" s="12"/>
      <c r="D452" s="4"/>
      <c r="E452" s="13"/>
      <c r="F452" s="4" t="s">
        <v>705</v>
      </c>
      <c r="G452" s="214">
        <f>42515-39+1774</f>
        <v>44250</v>
      </c>
      <c r="H452" s="20">
        <v>44250</v>
      </c>
      <c r="I452" s="219">
        <f t="shared" si="24"/>
        <v>100</v>
      </c>
    </row>
    <row r="453" spans="2:9" x14ac:dyDescent="0.2">
      <c r="B453" s="194">
        <f t="shared" si="23"/>
        <v>447</v>
      </c>
      <c r="C453" s="12"/>
      <c r="D453" s="4"/>
      <c r="E453" s="13"/>
      <c r="F453" s="4" t="s">
        <v>706</v>
      </c>
      <c r="G453" s="214">
        <v>18500</v>
      </c>
      <c r="H453" s="20">
        <v>18346</v>
      </c>
      <c r="I453" s="219">
        <f t="shared" si="24"/>
        <v>99.167567567567573</v>
      </c>
    </row>
    <row r="454" spans="2:9" x14ac:dyDescent="0.2">
      <c r="B454" s="194">
        <f t="shared" si="23"/>
        <v>448</v>
      </c>
      <c r="C454" s="12"/>
      <c r="D454" s="4"/>
      <c r="E454" s="13"/>
      <c r="F454" s="4" t="s">
        <v>707</v>
      </c>
      <c r="G454" s="214">
        <v>24500</v>
      </c>
      <c r="H454" s="20">
        <v>24421</v>
      </c>
      <c r="I454" s="219">
        <f t="shared" si="24"/>
        <v>99.67755102040816</v>
      </c>
    </row>
    <row r="455" spans="2:9" x14ac:dyDescent="0.2">
      <c r="B455" s="194">
        <f t="shared" si="23"/>
        <v>449</v>
      </c>
      <c r="C455" s="12"/>
      <c r="D455" s="4"/>
      <c r="E455" s="13"/>
      <c r="F455" s="187" t="s">
        <v>708</v>
      </c>
      <c r="G455" s="214">
        <v>0</v>
      </c>
      <c r="H455" s="20">
        <v>5282</v>
      </c>
      <c r="I455" s="219">
        <v>0</v>
      </c>
    </row>
    <row r="456" spans="2:9" x14ac:dyDescent="0.2">
      <c r="B456" s="194">
        <f t="shared" si="23"/>
        <v>450</v>
      </c>
      <c r="C456" s="12"/>
      <c r="D456" s="4"/>
      <c r="E456" s="13"/>
      <c r="F456" s="187" t="s">
        <v>672</v>
      </c>
      <c r="G456" s="214">
        <v>0</v>
      </c>
      <c r="H456" s="20">
        <v>94030</v>
      </c>
      <c r="I456" s="219">
        <v>0</v>
      </c>
    </row>
    <row r="457" spans="2:9" x14ac:dyDescent="0.2">
      <c r="B457" s="194">
        <f t="shared" si="23"/>
        <v>451</v>
      </c>
      <c r="C457" s="12"/>
      <c r="D457" s="4"/>
      <c r="E457" s="13"/>
      <c r="F457" s="187" t="s">
        <v>673</v>
      </c>
      <c r="G457" s="214">
        <v>0</v>
      </c>
      <c r="H457" s="20">
        <v>73920</v>
      </c>
      <c r="I457" s="219">
        <v>0</v>
      </c>
    </row>
    <row r="458" spans="2:9" x14ac:dyDescent="0.2">
      <c r="B458" s="194">
        <f t="shared" si="23"/>
        <v>452</v>
      </c>
      <c r="C458" s="12"/>
      <c r="D458" s="4"/>
      <c r="E458" s="13"/>
      <c r="F458" s="187" t="s">
        <v>144</v>
      </c>
      <c r="G458" s="214">
        <v>0</v>
      </c>
      <c r="H458" s="20">
        <v>17059</v>
      </c>
      <c r="I458" s="219">
        <v>0</v>
      </c>
    </row>
    <row r="459" spans="2:9" x14ac:dyDescent="0.2">
      <c r="B459" s="194">
        <f t="shared" si="23"/>
        <v>453</v>
      </c>
      <c r="C459" s="12"/>
      <c r="D459" s="4"/>
      <c r="E459" s="13"/>
      <c r="F459" s="187" t="s">
        <v>674</v>
      </c>
      <c r="G459" s="214">
        <v>0</v>
      </c>
      <c r="H459" s="20">
        <v>3400</v>
      </c>
      <c r="I459" s="219">
        <v>0</v>
      </c>
    </row>
    <row r="460" spans="2:9" x14ac:dyDescent="0.2">
      <c r="B460" s="194">
        <f t="shared" si="23"/>
        <v>454</v>
      </c>
      <c r="C460" s="12"/>
      <c r="D460" s="4"/>
      <c r="E460" s="13"/>
      <c r="F460" s="187" t="s">
        <v>675</v>
      </c>
      <c r="G460" s="214">
        <v>0</v>
      </c>
      <c r="H460" s="20">
        <v>2300</v>
      </c>
      <c r="I460" s="219">
        <v>0</v>
      </c>
    </row>
    <row r="461" spans="2:9" x14ac:dyDescent="0.2">
      <c r="B461" s="194">
        <f t="shared" si="23"/>
        <v>455</v>
      </c>
      <c r="C461" s="12"/>
      <c r="D461" s="4"/>
      <c r="E461" s="13"/>
      <c r="F461" s="187" t="s">
        <v>676</v>
      </c>
      <c r="G461" s="214">
        <v>0</v>
      </c>
      <c r="H461" s="20">
        <v>1730</v>
      </c>
      <c r="I461" s="219">
        <v>0</v>
      </c>
    </row>
    <row r="462" spans="2:9" x14ac:dyDescent="0.2">
      <c r="B462" s="194">
        <f t="shared" si="23"/>
        <v>456</v>
      </c>
      <c r="C462" s="12"/>
      <c r="D462" s="4"/>
      <c r="E462" s="13"/>
      <c r="F462" s="187" t="s">
        <v>677</v>
      </c>
      <c r="G462" s="214">
        <v>0</v>
      </c>
      <c r="H462" s="20">
        <v>525</v>
      </c>
      <c r="I462" s="219">
        <v>0</v>
      </c>
    </row>
    <row r="463" spans="2:9" ht="13.5" thickBot="1" x14ac:dyDescent="0.25">
      <c r="B463" s="194">
        <f t="shared" si="23"/>
        <v>457</v>
      </c>
      <c r="C463" s="128"/>
      <c r="D463" s="234"/>
      <c r="E463" s="234"/>
      <c r="F463" s="128" t="s">
        <v>650</v>
      </c>
      <c r="G463" s="245">
        <v>30306</v>
      </c>
      <c r="H463" s="256">
        <v>30306</v>
      </c>
      <c r="I463" s="257">
        <f t="shared" si="24"/>
        <v>100</v>
      </c>
    </row>
    <row r="464" spans="2:9" ht="15.75" thickBot="1" x14ac:dyDescent="0.3">
      <c r="B464" s="194">
        <f t="shared" si="23"/>
        <v>458</v>
      </c>
      <c r="C464" s="62">
        <v>1</v>
      </c>
      <c r="D464" s="62"/>
      <c r="E464" s="62"/>
      <c r="F464" s="183" t="s">
        <v>54</v>
      </c>
      <c r="G464" s="246">
        <f>G465</f>
        <v>8570</v>
      </c>
      <c r="H464" s="250">
        <f>H465</f>
        <v>8570</v>
      </c>
      <c r="I464" s="219">
        <f t="shared" si="24"/>
        <v>100</v>
      </c>
    </row>
    <row r="465" spans="2:9" x14ac:dyDescent="0.2">
      <c r="B465" s="108">
        <f t="shared" si="23"/>
        <v>459</v>
      </c>
      <c r="C465" s="68">
        <v>310</v>
      </c>
      <c r="D465" s="142"/>
      <c r="E465" s="69"/>
      <c r="F465" s="184" t="s">
        <v>229</v>
      </c>
      <c r="G465" s="238">
        <f>G467+G466</f>
        <v>8570</v>
      </c>
      <c r="H465" s="17">
        <f>H467+H466</f>
        <v>8570</v>
      </c>
      <c r="I465" s="219">
        <f t="shared" si="24"/>
        <v>100</v>
      </c>
    </row>
    <row r="466" spans="2:9" x14ac:dyDescent="0.2">
      <c r="B466" s="108">
        <f t="shared" si="23"/>
        <v>460</v>
      </c>
      <c r="C466" s="70"/>
      <c r="D466" s="65">
        <v>311</v>
      </c>
      <c r="E466" s="71"/>
      <c r="F466" s="116" t="s">
        <v>557</v>
      </c>
      <c r="G466" s="213">
        <v>450</v>
      </c>
      <c r="H466" s="18">
        <v>450</v>
      </c>
      <c r="I466" s="219">
        <f t="shared" si="24"/>
        <v>100</v>
      </c>
    </row>
    <row r="467" spans="2:9" ht="13.5" thickBot="1" x14ac:dyDescent="0.25">
      <c r="B467" s="108">
        <f t="shared" si="23"/>
        <v>461</v>
      </c>
      <c r="C467" s="130"/>
      <c r="D467" s="65">
        <v>312</v>
      </c>
      <c r="E467" s="71"/>
      <c r="F467" s="116" t="s">
        <v>195</v>
      </c>
      <c r="G467" s="213">
        <f>4850+470+2800</f>
        <v>8120</v>
      </c>
      <c r="H467" s="18">
        <v>8120</v>
      </c>
      <c r="I467" s="219">
        <f t="shared" si="24"/>
        <v>100</v>
      </c>
    </row>
    <row r="468" spans="2:9" ht="15.75" thickBot="1" x14ac:dyDescent="0.3">
      <c r="B468" s="108">
        <f t="shared" si="23"/>
        <v>462</v>
      </c>
      <c r="C468" s="72">
        <v>5</v>
      </c>
      <c r="D468" s="141"/>
      <c r="E468" s="73"/>
      <c r="F468" s="183" t="s">
        <v>116</v>
      </c>
      <c r="G468" s="246">
        <f>G469</f>
        <v>274000</v>
      </c>
      <c r="H468" s="250">
        <f>H469</f>
        <v>197187</v>
      </c>
      <c r="I468" s="219">
        <f t="shared" si="24"/>
        <v>71.966058394160584</v>
      </c>
    </row>
    <row r="469" spans="2:9" x14ac:dyDescent="0.2">
      <c r="B469" s="108">
        <f t="shared" si="23"/>
        <v>463</v>
      </c>
      <c r="C469" s="68">
        <v>310</v>
      </c>
      <c r="D469" s="142"/>
      <c r="E469" s="69"/>
      <c r="F469" s="184" t="s">
        <v>229</v>
      </c>
      <c r="G469" s="238">
        <f>G471+G470</f>
        <v>274000</v>
      </c>
      <c r="H469" s="17">
        <f>H471+H470</f>
        <v>197187</v>
      </c>
      <c r="I469" s="219">
        <f t="shared" si="24"/>
        <v>71.966058394160584</v>
      </c>
    </row>
    <row r="470" spans="2:9" x14ac:dyDescent="0.2">
      <c r="B470" s="108">
        <f t="shared" si="23"/>
        <v>464</v>
      </c>
      <c r="C470" s="70"/>
      <c r="D470" s="65">
        <v>311</v>
      </c>
      <c r="E470" s="71"/>
      <c r="F470" s="116" t="s">
        <v>557</v>
      </c>
      <c r="G470" s="213">
        <f>400+2100</f>
        <v>2500</v>
      </c>
      <c r="H470" s="18">
        <v>4900</v>
      </c>
      <c r="I470" s="219">
        <f t="shared" si="24"/>
        <v>196</v>
      </c>
    </row>
    <row r="471" spans="2:9" x14ac:dyDescent="0.2">
      <c r="B471" s="108">
        <f t="shared" si="23"/>
        <v>465</v>
      </c>
      <c r="C471" s="70"/>
      <c r="D471" s="65">
        <v>312</v>
      </c>
      <c r="E471" s="71"/>
      <c r="F471" s="116" t="s">
        <v>195</v>
      </c>
      <c r="G471" s="213">
        <f>G472</f>
        <v>271500</v>
      </c>
      <c r="H471" s="18">
        <f>H472</f>
        <v>192287</v>
      </c>
      <c r="I471" s="219">
        <f t="shared" si="24"/>
        <v>70.823941068139959</v>
      </c>
    </row>
    <row r="472" spans="2:9" ht="13.5" thickBot="1" x14ac:dyDescent="0.25">
      <c r="B472" s="108">
        <f t="shared" si="23"/>
        <v>466</v>
      </c>
      <c r="C472" s="12"/>
      <c r="D472" s="129"/>
      <c r="E472" s="13">
        <v>312001</v>
      </c>
      <c r="F472" s="12" t="s">
        <v>238</v>
      </c>
      <c r="G472" s="214">
        <f>328500-57000</f>
        <v>271500</v>
      </c>
      <c r="H472" s="20">
        <v>192287</v>
      </c>
      <c r="I472" s="219">
        <f t="shared" si="24"/>
        <v>70.823941068139959</v>
      </c>
    </row>
    <row r="473" spans="2:9" ht="15.75" thickBot="1" x14ac:dyDescent="0.3">
      <c r="B473" s="108">
        <f t="shared" si="23"/>
        <v>467</v>
      </c>
      <c r="C473" s="72">
        <v>6</v>
      </c>
      <c r="D473" s="141"/>
      <c r="E473" s="73"/>
      <c r="F473" s="183" t="s">
        <v>12</v>
      </c>
      <c r="G473" s="246">
        <f>G474</f>
        <v>1511</v>
      </c>
      <c r="H473" s="250">
        <f>H474</f>
        <v>1653</v>
      </c>
      <c r="I473" s="219">
        <f t="shared" si="24"/>
        <v>109.39774983454666</v>
      </c>
    </row>
    <row r="474" spans="2:9" x14ac:dyDescent="0.2">
      <c r="B474" s="108">
        <f t="shared" si="23"/>
        <v>468</v>
      </c>
      <c r="C474" s="68">
        <v>310</v>
      </c>
      <c r="D474" s="142"/>
      <c r="E474" s="69"/>
      <c r="F474" s="184" t="s">
        <v>229</v>
      </c>
      <c r="G474" s="238">
        <f>G475</f>
        <v>1511</v>
      </c>
      <c r="H474" s="17">
        <f>H475</f>
        <v>1653</v>
      </c>
      <c r="I474" s="219">
        <f t="shared" si="24"/>
        <v>109.39774983454666</v>
      </c>
    </row>
    <row r="475" spans="2:9" ht="13.5" thickBot="1" x14ac:dyDescent="0.25">
      <c r="B475" s="108">
        <f t="shared" si="23"/>
        <v>469</v>
      </c>
      <c r="C475" s="70"/>
      <c r="D475" s="65">
        <v>311</v>
      </c>
      <c r="E475" s="71"/>
      <c r="F475" s="116" t="s">
        <v>557</v>
      </c>
      <c r="G475" s="213">
        <v>1511</v>
      </c>
      <c r="H475" s="18">
        <v>1653</v>
      </c>
      <c r="I475" s="219">
        <f t="shared" si="24"/>
        <v>109.39774983454666</v>
      </c>
    </row>
    <row r="476" spans="2:9" ht="15.75" thickBot="1" x14ac:dyDescent="0.3">
      <c r="B476" s="108">
        <f t="shared" si="23"/>
        <v>470</v>
      </c>
      <c r="C476" s="72">
        <v>7</v>
      </c>
      <c r="D476" s="141"/>
      <c r="E476" s="73"/>
      <c r="F476" s="183" t="s">
        <v>13</v>
      </c>
      <c r="G476" s="246">
        <f>G477</f>
        <v>435</v>
      </c>
      <c r="H476" s="250">
        <f>H477</f>
        <v>435</v>
      </c>
      <c r="I476" s="219">
        <f t="shared" si="24"/>
        <v>100</v>
      </c>
    </row>
    <row r="477" spans="2:9" x14ac:dyDescent="0.2">
      <c r="B477" s="108">
        <f t="shared" ref="B477:B497" si="25">B476+1</f>
        <v>471</v>
      </c>
      <c r="C477" s="68">
        <v>310</v>
      </c>
      <c r="D477" s="142"/>
      <c r="E477" s="69"/>
      <c r="F477" s="184" t="s">
        <v>229</v>
      </c>
      <c r="G477" s="238">
        <f>G478</f>
        <v>435</v>
      </c>
      <c r="H477" s="17">
        <f>H478</f>
        <v>435</v>
      </c>
      <c r="I477" s="219">
        <f t="shared" si="24"/>
        <v>100</v>
      </c>
    </row>
    <row r="478" spans="2:9" ht="13.5" thickBot="1" x14ac:dyDescent="0.25">
      <c r="B478" s="108">
        <f t="shared" si="25"/>
        <v>472</v>
      </c>
      <c r="C478" s="70"/>
      <c r="D478" s="65">
        <v>311</v>
      </c>
      <c r="E478" s="71"/>
      <c r="F478" s="116" t="s">
        <v>557</v>
      </c>
      <c r="G478" s="213">
        <f>366+69</f>
        <v>435</v>
      </c>
      <c r="H478" s="18">
        <v>435</v>
      </c>
      <c r="I478" s="219">
        <f t="shared" si="24"/>
        <v>100</v>
      </c>
    </row>
    <row r="479" spans="2:9" ht="15.75" thickBot="1" x14ac:dyDescent="0.3">
      <c r="B479" s="108">
        <f t="shared" si="25"/>
        <v>473</v>
      </c>
      <c r="C479" s="72">
        <v>9</v>
      </c>
      <c r="D479" s="141"/>
      <c r="E479" s="73"/>
      <c r="F479" s="183" t="s">
        <v>8</v>
      </c>
      <c r="G479" s="246">
        <f>G480</f>
        <v>15056</v>
      </c>
      <c r="H479" s="250">
        <f>H480</f>
        <v>15837</v>
      </c>
      <c r="I479" s="219">
        <f t="shared" si="24"/>
        <v>105.18730074388949</v>
      </c>
    </row>
    <row r="480" spans="2:9" x14ac:dyDescent="0.2">
      <c r="B480" s="108">
        <f t="shared" si="25"/>
        <v>474</v>
      </c>
      <c r="C480" s="68">
        <v>310</v>
      </c>
      <c r="D480" s="142"/>
      <c r="E480" s="69"/>
      <c r="F480" s="184" t="s">
        <v>289</v>
      </c>
      <c r="G480" s="238">
        <f>G481+G482</f>
        <v>15056</v>
      </c>
      <c r="H480" s="17">
        <f>H481+H482</f>
        <v>15837</v>
      </c>
      <c r="I480" s="219">
        <f t="shared" ref="I480:I497" si="26">H480/G480*100</f>
        <v>105.18730074388949</v>
      </c>
    </row>
    <row r="481" spans="2:9" x14ac:dyDescent="0.2">
      <c r="B481" s="108">
        <f t="shared" si="25"/>
        <v>475</v>
      </c>
      <c r="C481" s="70"/>
      <c r="D481" s="65">
        <v>311</v>
      </c>
      <c r="E481" s="71"/>
      <c r="F481" s="116" t="s">
        <v>557</v>
      </c>
      <c r="G481" s="213">
        <v>166</v>
      </c>
      <c r="H481" s="18">
        <v>947</v>
      </c>
      <c r="I481" s="219">
        <f t="shared" si="26"/>
        <v>570.48192771084337</v>
      </c>
    </row>
    <row r="482" spans="2:9" ht="13.5" thickBot="1" x14ac:dyDescent="0.25">
      <c r="B482" s="108">
        <f t="shared" si="25"/>
        <v>476</v>
      </c>
      <c r="C482" s="205"/>
      <c r="D482" s="207">
        <v>312</v>
      </c>
      <c r="E482" s="205"/>
      <c r="F482" s="206" t="s">
        <v>195</v>
      </c>
      <c r="G482" s="247">
        <v>14890</v>
      </c>
      <c r="H482" s="254">
        <v>14890</v>
      </c>
      <c r="I482" s="219">
        <f t="shared" si="26"/>
        <v>100</v>
      </c>
    </row>
    <row r="483" spans="2:9" ht="15.75" thickBot="1" x14ac:dyDescent="0.3">
      <c r="B483" s="108">
        <f t="shared" si="25"/>
        <v>477</v>
      </c>
      <c r="C483" s="72">
        <v>10</v>
      </c>
      <c r="D483" s="141"/>
      <c r="E483" s="73"/>
      <c r="F483" s="183" t="s">
        <v>2</v>
      </c>
      <c r="G483" s="246">
        <f>G484</f>
        <v>47817</v>
      </c>
      <c r="H483" s="250">
        <f>H484</f>
        <v>47817</v>
      </c>
      <c r="I483" s="219">
        <f t="shared" si="26"/>
        <v>100</v>
      </c>
    </row>
    <row r="484" spans="2:9" x14ac:dyDescent="0.2">
      <c r="B484" s="108">
        <f t="shared" si="25"/>
        <v>478</v>
      </c>
      <c r="C484" s="68">
        <v>310</v>
      </c>
      <c r="D484" s="142"/>
      <c r="E484" s="69"/>
      <c r="F484" s="184" t="s">
        <v>229</v>
      </c>
      <c r="G484" s="238">
        <f>G485+G486</f>
        <v>47817</v>
      </c>
      <c r="H484" s="17">
        <f>H485+H486</f>
        <v>47817</v>
      </c>
      <c r="I484" s="219">
        <f t="shared" si="26"/>
        <v>100</v>
      </c>
    </row>
    <row r="485" spans="2:9" x14ac:dyDescent="0.2">
      <c r="B485" s="108">
        <f>B484+1</f>
        <v>479</v>
      </c>
      <c r="C485" s="70"/>
      <c r="D485" s="65">
        <v>311</v>
      </c>
      <c r="E485" s="71"/>
      <c r="F485" s="116" t="s">
        <v>557</v>
      </c>
      <c r="G485" s="213">
        <f>17111+17840+8645</f>
        <v>43596</v>
      </c>
      <c r="H485" s="18">
        <v>43596</v>
      </c>
      <c r="I485" s="219">
        <f t="shared" si="26"/>
        <v>100</v>
      </c>
    </row>
    <row r="486" spans="2:9" ht="13.5" thickBot="1" x14ac:dyDescent="0.25">
      <c r="B486" s="108">
        <f t="shared" ref="B486:B488" si="27">B485+1</f>
        <v>480</v>
      </c>
      <c r="C486" s="205"/>
      <c r="D486" s="207">
        <v>312</v>
      </c>
      <c r="E486" s="205"/>
      <c r="F486" s="206" t="s">
        <v>195</v>
      </c>
      <c r="G486" s="247">
        <f>4221</f>
        <v>4221</v>
      </c>
      <c r="H486" s="254">
        <v>4221</v>
      </c>
      <c r="I486" s="219">
        <f t="shared" si="26"/>
        <v>100</v>
      </c>
    </row>
    <row r="487" spans="2:9" ht="15.75" thickBot="1" x14ac:dyDescent="0.3">
      <c r="B487" s="108">
        <f t="shared" si="27"/>
        <v>481</v>
      </c>
      <c r="C487" s="72">
        <v>12</v>
      </c>
      <c r="D487" s="141"/>
      <c r="E487" s="73"/>
      <c r="F487" s="183" t="s">
        <v>9</v>
      </c>
      <c r="G487" s="246">
        <f>G488</f>
        <v>1215</v>
      </c>
      <c r="H487" s="250">
        <f>H488</f>
        <v>1215</v>
      </c>
      <c r="I487" s="219">
        <f t="shared" si="26"/>
        <v>100</v>
      </c>
    </row>
    <row r="488" spans="2:9" x14ac:dyDescent="0.2">
      <c r="B488" s="108">
        <f t="shared" si="27"/>
        <v>482</v>
      </c>
      <c r="C488" s="68">
        <v>310</v>
      </c>
      <c r="D488" s="142"/>
      <c r="E488" s="69"/>
      <c r="F488" s="184" t="s">
        <v>229</v>
      </c>
      <c r="G488" s="238">
        <f>G489</f>
        <v>1215</v>
      </c>
      <c r="H488" s="17">
        <f>H489</f>
        <v>1215</v>
      </c>
      <c r="I488" s="219">
        <f t="shared" si="26"/>
        <v>100</v>
      </c>
    </row>
    <row r="489" spans="2:9" ht="13.5" thickBot="1" x14ac:dyDescent="0.25">
      <c r="B489" s="108">
        <f t="shared" si="25"/>
        <v>483</v>
      </c>
      <c r="C489" s="70"/>
      <c r="D489" s="65">
        <v>311</v>
      </c>
      <c r="E489" s="71"/>
      <c r="F489" s="116" t="s">
        <v>557</v>
      </c>
      <c r="G489" s="213">
        <f>715+500</f>
        <v>1215</v>
      </c>
      <c r="H489" s="18">
        <v>1215</v>
      </c>
      <c r="I489" s="219">
        <f t="shared" si="26"/>
        <v>100</v>
      </c>
    </row>
    <row r="490" spans="2:9" ht="15.75" thickBot="1" x14ac:dyDescent="0.3">
      <c r="B490" s="108">
        <f t="shared" si="25"/>
        <v>484</v>
      </c>
      <c r="C490" s="72">
        <v>13</v>
      </c>
      <c r="D490" s="141"/>
      <c r="E490" s="73"/>
      <c r="F490" s="183" t="s">
        <v>19</v>
      </c>
      <c r="G490" s="246">
        <f>G491</f>
        <v>476</v>
      </c>
      <c r="H490" s="250">
        <f>H491</f>
        <v>476</v>
      </c>
      <c r="I490" s="219">
        <f t="shared" si="26"/>
        <v>100</v>
      </c>
    </row>
    <row r="491" spans="2:9" x14ac:dyDescent="0.2">
      <c r="B491" s="108">
        <f t="shared" si="25"/>
        <v>485</v>
      </c>
      <c r="C491" s="68">
        <v>310</v>
      </c>
      <c r="D491" s="142"/>
      <c r="E491" s="69"/>
      <c r="F491" s="184" t="s">
        <v>229</v>
      </c>
      <c r="G491" s="238">
        <f>G492</f>
        <v>476</v>
      </c>
      <c r="H491" s="17">
        <f>H492</f>
        <v>476</v>
      </c>
      <c r="I491" s="219">
        <f t="shared" si="26"/>
        <v>100</v>
      </c>
    </row>
    <row r="492" spans="2:9" ht="13.5" thickBot="1" x14ac:dyDescent="0.25">
      <c r="B492" s="108">
        <f t="shared" si="25"/>
        <v>486</v>
      </c>
      <c r="C492" s="70"/>
      <c r="D492" s="65">
        <v>311</v>
      </c>
      <c r="E492" s="71"/>
      <c r="F492" s="116" t="s">
        <v>557</v>
      </c>
      <c r="G492" s="213">
        <f>327+149</f>
        <v>476</v>
      </c>
      <c r="H492" s="18">
        <v>476</v>
      </c>
      <c r="I492" s="219">
        <f t="shared" si="26"/>
        <v>100</v>
      </c>
    </row>
    <row r="493" spans="2:9" ht="15.75" thickBot="1" x14ac:dyDescent="0.3">
      <c r="B493" s="108">
        <f t="shared" si="25"/>
        <v>487</v>
      </c>
      <c r="C493" s="72">
        <v>13</v>
      </c>
      <c r="D493" s="141"/>
      <c r="E493" s="73"/>
      <c r="F493" s="183" t="s">
        <v>657</v>
      </c>
      <c r="G493" s="246">
        <f>G494</f>
        <v>3287</v>
      </c>
      <c r="H493" s="250">
        <f>H494</f>
        <v>16974</v>
      </c>
      <c r="I493" s="219">
        <f t="shared" si="26"/>
        <v>516.39793124429571</v>
      </c>
    </row>
    <row r="494" spans="2:9" x14ac:dyDescent="0.2">
      <c r="B494" s="108">
        <f t="shared" si="25"/>
        <v>488</v>
      </c>
      <c r="C494" s="68">
        <v>310</v>
      </c>
      <c r="D494" s="142"/>
      <c r="E494" s="69"/>
      <c r="F494" s="184" t="s">
        <v>229</v>
      </c>
      <c r="G494" s="238">
        <f>G496</f>
        <v>3287</v>
      </c>
      <c r="H494" s="17">
        <f>H495+H496</f>
        <v>16974</v>
      </c>
      <c r="I494" s="219">
        <f t="shared" si="26"/>
        <v>516.39793124429571</v>
      </c>
    </row>
    <row r="495" spans="2:9" x14ac:dyDescent="0.2">
      <c r="B495" s="108">
        <f t="shared" si="25"/>
        <v>489</v>
      </c>
      <c r="C495" s="68"/>
      <c r="D495" s="65">
        <v>311</v>
      </c>
      <c r="E495" s="71"/>
      <c r="F495" s="116" t="s">
        <v>557</v>
      </c>
      <c r="G495" s="213">
        <v>0</v>
      </c>
      <c r="H495" s="18">
        <v>508</v>
      </c>
      <c r="I495" s="219">
        <v>0</v>
      </c>
    </row>
    <row r="496" spans="2:9" x14ac:dyDescent="0.2">
      <c r="B496" s="108">
        <f t="shared" si="25"/>
        <v>490</v>
      </c>
      <c r="C496" s="70"/>
      <c r="D496" s="65">
        <v>312</v>
      </c>
      <c r="E496" s="71"/>
      <c r="F496" s="116" t="s">
        <v>195</v>
      </c>
      <c r="G496" s="213">
        <v>3287</v>
      </c>
      <c r="H496" s="18">
        <v>16466</v>
      </c>
      <c r="I496" s="219">
        <f t="shared" si="26"/>
        <v>500.94310921813207</v>
      </c>
    </row>
    <row r="497" spans="2:9" ht="15.75" thickBot="1" x14ac:dyDescent="0.25">
      <c r="B497" s="108">
        <f t="shared" si="25"/>
        <v>491</v>
      </c>
      <c r="C497" s="110"/>
      <c r="D497" s="111"/>
      <c r="E497" s="112"/>
      <c r="F497" s="185" t="s">
        <v>125</v>
      </c>
      <c r="G497" s="248">
        <f>G421+G22+G6</f>
        <v>42582079</v>
      </c>
      <c r="H497" s="258">
        <f>H421+H22+H6</f>
        <v>43690964</v>
      </c>
      <c r="I497" s="259">
        <f t="shared" si="26"/>
        <v>102.60411193168844</v>
      </c>
    </row>
    <row r="498" spans="2:9" ht="13.5" thickBot="1" x14ac:dyDescent="0.25"/>
    <row r="499" spans="2:9" ht="12.75" customHeight="1" x14ac:dyDescent="0.2">
      <c r="B499" s="473" t="s">
        <v>175</v>
      </c>
      <c r="C499" s="474"/>
      <c r="D499" s="474"/>
      <c r="E499" s="474"/>
      <c r="F499" s="475"/>
      <c r="G499" s="470" t="s">
        <v>659</v>
      </c>
      <c r="H499" s="487" t="s">
        <v>661</v>
      </c>
      <c r="I499" s="490" t="s">
        <v>660</v>
      </c>
    </row>
    <row r="500" spans="2:9" x14ac:dyDescent="0.2">
      <c r="B500" s="476"/>
      <c r="C500" s="477"/>
      <c r="D500" s="477"/>
      <c r="E500" s="477"/>
      <c r="F500" s="478"/>
      <c r="G500" s="471"/>
      <c r="H500" s="488"/>
      <c r="I500" s="491"/>
    </row>
    <row r="501" spans="2:9" x14ac:dyDescent="0.2">
      <c r="B501" s="483" t="s">
        <v>120</v>
      </c>
      <c r="C501" s="485" t="s">
        <v>121</v>
      </c>
      <c r="D501" s="479" t="s">
        <v>122</v>
      </c>
      <c r="E501" s="479" t="s">
        <v>124</v>
      </c>
      <c r="F501" s="481" t="s">
        <v>123</v>
      </c>
      <c r="G501" s="471"/>
      <c r="H501" s="488"/>
      <c r="I501" s="491"/>
    </row>
    <row r="502" spans="2:9" ht="13.5" thickBot="1" x14ac:dyDescent="0.25">
      <c r="B502" s="484"/>
      <c r="C502" s="486"/>
      <c r="D502" s="480"/>
      <c r="E502" s="480"/>
      <c r="F502" s="482"/>
      <c r="G502" s="472"/>
      <c r="H502" s="489"/>
      <c r="I502" s="492"/>
    </row>
    <row r="503" spans="2:9" ht="17.25" thickTop="1" thickBot="1" x14ac:dyDescent="0.3">
      <c r="B503" s="108">
        <f t="shared" ref="B503:B536" si="28">B502+1</f>
        <v>1</v>
      </c>
      <c r="C503" s="61">
        <v>200</v>
      </c>
      <c r="D503" s="61"/>
      <c r="E503" s="61"/>
      <c r="F503" s="8" t="s">
        <v>174</v>
      </c>
      <c r="G503" s="243">
        <f>G504</f>
        <v>937434</v>
      </c>
      <c r="H503" s="255">
        <f>H504</f>
        <v>1399175</v>
      </c>
      <c r="I503" s="219">
        <f t="shared" ref="I503:I536" si="29">H503/G503*100</f>
        <v>149.25584094453583</v>
      </c>
    </row>
    <row r="504" spans="2:9" ht="15.75" thickBot="1" x14ac:dyDescent="0.3">
      <c r="B504" s="108">
        <f t="shared" si="28"/>
        <v>2</v>
      </c>
      <c r="C504" s="62"/>
      <c r="D504" s="62"/>
      <c r="E504" s="62"/>
      <c r="F504" s="9" t="s">
        <v>43</v>
      </c>
      <c r="G504" s="236">
        <f>G505</f>
        <v>937434</v>
      </c>
      <c r="H504" s="250">
        <f>H505</f>
        <v>1399175</v>
      </c>
      <c r="I504" s="219">
        <f t="shared" si="29"/>
        <v>149.25584094453583</v>
      </c>
    </row>
    <row r="505" spans="2:9" x14ac:dyDescent="0.2">
      <c r="B505" s="108">
        <f t="shared" si="28"/>
        <v>3</v>
      </c>
      <c r="C505" s="63">
        <v>230</v>
      </c>
      <c r="D505" s="63"/>
      <c r="E505" s="63"/>
      <c r="F505" s="5" t="s">
        <v>175</v>
      </c>
      <c r="G505" s="237">
        <f>G506+G508</f>
        <v>937434</v>
      </c>
      <c r="H505" s="251">
        <f>H506+H508</f>
        <v>1399175</v>
      </c>
      <c r="I505" s="219">
        <f t="shared" si="29"/>
        <v>149.25584094453583</v>
      </c>
    </row>
    <row r="506" spans="2:9" x14ac:dyDescent="0.2">
      <c r="B506" s="108">
        <f t="shared" si="28"/>
        <v>4</v>
      </c>
      <c r="C506" s="64"/>
      <c r="D506" s="64">
        <v>231</v>
      </c>
      <c r="E506" s="64"/>
      <c r="F506" s="2" t="s">
        <v>268</v>
      </c>
      <c r="G506" s="238">
        <f>G507</f>
        <v>550000</v>
      </c>
      <c r="H506" s="17">
        <f>H507</f>
        <v>1093489</v>
      </c>
      <c r="I506" s="219">
        <f t="shared" si="29"/>
        <v>198.8161818181818</v>
      </c>
    </row>
    <row r="507" spans="2:9" x14ac:dyDescent="0.2">
      <c r="B507" s="108">
        <f t="shared" si="28"/>
        <v>5</v>
      </c>
      <c r="C507" s="65"/>
      <c r="D507" s="65"/>
      <c r="E507" s="65">
        <v>231</v>
      </c>
      <c r="F507" s="3" t="s">
        <v>268</v>
      </c>
      <c r="G507" s="213">
        <f>400000+150000</f>
        <v>550000</v>
      </c>
      <c r="H507" s="18">
        <v>1093489</v>
      </c>
      <c r="I507" s="219">
        <f t="shared" si="29"/>
        <v>198.8161818181818</v>
      </c>
    </row>
    <row r="508" spans="2:9" x14ac:dyDescent="0.2">
      <c r="B508" s="108">
        <f t="shared" si="28"/>
        <v>6</v>
      </c>
      <c r="C508" s="64"/>
      <c r="D508" s="64">
        <v>233</v>
      </c>
      <c r="E508" s="64"/>
      <c r="F508" s="2" t="s">
        <v>176</v>
      </c>
      <c r="G508" s="238">
        <f>G509</f>
        <v>387434</v>
      </c>
      <c r="H508" s="17">
        <f>H509</f>
        <v>305686</v>
      </c>
      <c r="I508" s="219">
        <f t="shared" si="29"/>
        <v>78.900148154266276</v>
      </c>
    </row>
    <row r="509" spans="2:9" x14ac:dyDescent="0.2">
      <c r="B509" s="108">
        <f t="shared" si="28"/>
        <v>7</v>
      </c>
      <c r="C509" s="65"/>
      <c r="D509" s="65"/>
      <c r="E509" s="65">
        <v>233001</v>
      </c>
      <c r="F509" s="3" t="s">
        <v>177</v>
      </c>
      <c r="G509" s="213">
        <f>200000+187434</f>
        <v>387434</v>
      </c>
      <c r="H509" s="18">
        <v>305686</v>
      </c>
      <c r="I509" s="219">
        <f t="shared" si="29"/>
        <v>78.900148154266276</v>
      </c>
    </row>
    <row r="510" spans="2:9" ht="16.5" thickBot="1" x14ac:dyDescent="0.3">
      <c r="B510" s="108">
        <f t="shared" si="28"/>
        <v>8</v>
      </c>
      <c r="C510" s="61">
        <v>300</v>
      </c>
      <c r="D510" s="61"/>
      <c r="E510" s="61"/>
      <c r="F510" s="8" t="s">
        <v>228</v>
      </c>
      <c r="G510" s="243">
        <f>G511+G533</f>
        <v>7087030</v>
      </c>
      <c r="H510" s="255">
        <f>H511+H533</f>
        <v>3296941</v>
      </c>
      <c r="I510" s="219">
        <f t="shared" si="29"/>
        <v>46.520771042312511</v>
      </c>
    </row>
    <row r="511" spans="2:9" ht="15.75" thickBot="1" x14ac:dyDescent="0.3">
      <c r="B511" s="108">
        <f t="shared" si="28"/>
        <v>9</v>
      </c>
      <c r="C511" s="62"/>
      <c r="D511" s="62"/>
      <c r="E511" s="62"/>
      <c r="F511" s="9" t="s">
        <v>43</v>
      </c>
      <c r="G511" s="236">
        <f>G512</f>
        <v>7086064</v>
      </c>
      <c r="H511" s="250">
        <f>H512</f>
        <v>3295975</v>
      </c>
      <c r="I511" s="219">
        <f t="shared" si="29"/>
        <v>46.513480544347331</v>
      </c>
    </row>
    <row r="512" spans="2:9" x14ac:dyDescent="0.2">
      <c r="B512" s="108">
        <f t="shared" si="28"/>
        <v>10</v>
      </c>
      <c r="C512" s="63">
        <v>320</v>
      </c>
      <c r="D512" s="63"/>
      <c r="E512" s="63"/>
      <c r="F512" s="5" t="s">
        <v>289</v>
      </c>
      <c r="G512" s="237">
        <f>G515+G513+G514</f>
        <v>7086064</v>
      </c>
      <c r="H512" s="251">
        <f>H515+H513+H514</f>
        <v>3295975</v>
      </c>
      <c r="I512" s="219">
        <f t="shared" si="29"/>
        <v>46.513480544347331</v>
      </c>
    </row>
    <row r="513" spans="2:9" s="41" customFormat="1" ht="24" x14ac:dyDescent="0.2">
      <c r="B513" s="194">
        <f t="shared" si="28"/>
        <v>11</v>
      </c>
      <c r="C513" s="195"/>
      <c r="D513" s="195">
        <v>321</v>
      </c>
      <c r="E513" s="195"/>
      <c r="F513" s="196" t="s">
        <v>617</v>
      </c>
      <c r="G513" s="260">
        <v>5354</v>
      </c>
      <c r="H513" s="263">
        <v>5354</v>
      </c>
      <c r="I513" s="219">
        <f t="shared" si="29"/>
        <v>100</v>
      </c>
    </row>
    <row r="514" spans="2:9" x14ac:dyDescent="0.2">
      <c r="B514" s="108">
        <f t="shared" si="28"/>
        <v>12</v>
      </c>
      <c r="C514" s="64"/>
      <c r="D514" s="64">
        <v>321</v>
      </c>
      <c r="E514" s="64"/>
      <c r="F514" s="189" t="s">
        <v>625</v>
      </c>
      <c r="G514" s="260">
        <v>10000</v>
      </c>
      <c r="H514" s="263">
        <v>10000</v>
      </c>
      <c r="I514" s="219">
        <f t="shared" si="29"/>
        <v>100</v>
      </c>
    </row>
    <row r="515" spans="2:9" x14ac:dyDescent="0.2">
      <c r="B515" s="108">
        <f t="shared" si="28"/>
        <v>13</v>
      </c>
      <c r="C515" s="64"/>
      <c r="D515" s="64">
        <v>322</v>
      </c>
      <c r="E515" s="64"/>
      <c r="F515" s="2" t="s">
        <v>195</v>
      </c>
      <c r="G515" s="238">
        <f>G516</f>
        <v>7070710</v>
      </c>
      <c r="H515" s="17">
        <f>H516</f>
        <v>3280621</v>
      </c>
      <c r="I515" s="219">
        <f t="shared" si="29"/>
        <v>46.397334921104104</v>
      </c>
    </row>
    <row r="516" spans="2:9" x14ac:dyDescent="0.2">
      <c r="B516" s="108">
        <f t="shared" si="28"/>
        <v>14</v>
      </c>
      <c r="C516" s="65"/>
      <c r="D516" s="65"/>
      <c r="E516" s="65">
        <v>322001</v>
      </c>
      <c r="F516" s="3" t="s">
        <v>290</v>
      </c>
      <c r="G516" s="213">
        <f>SUM(G517:G532)</f>
        <v>7070710</v>
      </c>
      <c r="H516" s="18">
        <f>SUM(H517:H532)</f>
        <v>3280621</v>
      </c>
      <c r="I516" s="219">
        <f t="shared" si="29"/>
        <v>46.397334921104104</v>
      </c>
    </row>
    <row r="517" spans="2:9" x14ac:dyDescent="0.2">
      <c r="B517" s="108">
        <f t="shared" si="28"/>
        <v>15</v>
      </c>
      <c r="C517" s="128"/>
      <c r="D517" s="129"/>
      <c r="E517" s="129"/>
      <c r="F517" s="129" t="s">
        <v>435</v>
      </c>
      <c r="G517" s="261">
        <v>821934</v>
      </c>
      <c r="H517" s="167">
        <f>351232+41321</f>
        <v>392553</v>
      </c>
      <c r="I517" s="219">
        <f t="shared" si="29"/>
        <v>47.759674134419548</v>
      </c>
    </row>
    <row r="518" spans="2:9" x14ac:dyDescent="0.2">
      <c r="B518" s="108">
        <f t="shared" si="28"/>
        <v>16</v>
      </c>
      <c r="C518" s="130"/>
      <c r="D518" s="129"/>
      <c r="E518" s="129"/>
      <c r="F518" s="129" t="s">
        <v>436</v>
      </c>
      <c r="G518" s="261">
        <v>1116091</v>
      </c>
      <c r="H518" s="167">
        <f>810808+95389</f>
        <v>906197</v>
      </c>
      <c r="I518" s="219">
        <f t="shared" si="29"/>
        <v>81.193827385042965</v>
      </c>
    </row>
    <row r="519" spans="2:9" x14ac:dyDescent="0.2">
      <c r="B519" s="108">
        <f t="shared" si="28"/>
        <v>17</v>
      </c>
      <c r="C519" s="129"/>
      <c r="D519" s="129"/>
      <c r="E519" s="129"/>
      <c r="F519" s="129" t="s">
        <v>441</v>
      </c>
      <c r="G519" s="261">
        <v>823760</v>
      </c>
      <c r="H519" s="167">
        <v>823760</v>
      </c>
      <c r="I519" s="219">
        <f t="shared" si="29"/>
        <v>100</v>
      </c>
    </row>
    <row r="520" spans="2:9" x14ac:dyDescent="0.2">
      <c r="B520" s="108">
        <f t="shared" si="28"/>
        <v>18</v>
      </c>
      <c r="C520" s="129"/>
      <c r="D520" s="129"/>
      <c r="E520" s="129"/>
      <c r="F520" s="129" t="s">
        <v>521</v>
      </c>
      <c r="G520" s="261">
        <v>414720</v>
      </c>
      <c r="H520" s="167">
        <v>0</v>
      </c>
      <c r="I520" s="219">
        <f t="shared" si="29"/>
        <v>0</v>
      </c>
    </row>
    <row r="521" spans="2:9" x14ac:dyDescent="0.2">
      <c r="B521" s="108">
        <f t="shared" si="28"/>
        <v>19</v>
      </c>
      <c r="C521" s="4"/>
      <c r="D521" s="4"/>
      <c r="E521" s="4"/>
      <c r="F521" s="4" t="s">
        <v>507</v>
      </c>
      <c r="G521" s="214">
        <v>195490</v>
      </c>
      <c r="H521" s="20">
        <f>169375+19926</f>
        <v>189301</v>
      </c>
      <c r="I521" s="219">
        <f t="shared" si="29"/>
        <v>96.834109161593943</v>
      </c>
    </row>
    <row r="522" spans="2:9" x14ac:dyDescent="0.2">
      <c r="B522" s="108">
        <f t="shared" si="28"/>
        <v>20</v>
      </c>
      <c r="C522" s="4"/>
      <c r="D522" s="4"/>
      <c r="E522" s="4"/>
      <c r="F522" s="129" t="s">
        <v>566</v>
      </c>
      <c r="G522" s="261">
        <v>11000</v>
      </c>
      <c r="H522" s="167">
        <v>11000</v>
      </c>
      <c r="I522" s="219">
        <f t="shared" si="29"/>
        <v>100</v>
      </c>
    </row>
    <row r="523" spans="2:9" x14ac:dyDescent="0.2">
      <c r="B523" s="108">
        <f t="shared" si="28"/>
        <v>21</v>
      </c>
      <c r="C523" s="4"/>
      <c r="D523" s="4"/>
      <c r="E523" s="4"/>
      <c r="F523" s="129" t="s">
        <v>567</v>
      </c>
      <c r="G523" s="261">
        <v>535296</v>
      </c>
      <c r="H523" s="167">
        <v>535296</v>
      </c>
      <c r="I523" s="219">
        <f t="shared" si="29"/>
        <v>100</v>
      </c>
    </row>
    <row r="524" spans="2:9" x14ac:dyDescent="0.2">
      <c r="B524" s="108"/>
      <c r="C524" s="4"/>
      <c r="D524" s="4"/>
      <c r="E524" s="4"/>
      <c r="F524" s="129" t="s">
        <v>678</v>
      </c>
      <c r="G524" s="261">
        <v>0</v>
      </c>
      <c r="H524" s="167">
        <v>70378</v>
      </c>
      <c r="I524" s="219"/>
    </row>
    <row r="525" spans="2:9" x14ac:dyDescent="0.2">
      <c r="B525" s="108">
        <f>B523+1</f>
        <v>22</v>
      </c>
      <c r="C525" s="4"/>
      <c r="D525" s="4"/>
      <c r="E525" s="4"/>
      <c r="F525" s="4" t="s">
        <v>628</v>
      </c>
      <c r="G525" s="261">
        <v>390198</v>
      </c>
      <c r="H525" s="167">
        <f>315069+37067</f>
        <v>352136</v>
      </c>
      <c r="I525" s="219">
        <f t="shared" si="29"/>
        <v>90.245465122835071</v>
      </c>
    </row>
    <row r="526" spans="2:9" x14ac:dyDescent="0.2">
      <c r="B526" s="108">
        <f t="shared" si="28"/>
        <v>23</v>
      </c>
      <c r="C526" s="4"/>
      <c r="D526" s="4"/>
      <c r="E526" s="4"/>
      <c r="F526" s="4" t="s">
        <v>629</v>
      </c>
      <c r="G526" s="261">
        <v>98610</v>
      </c>
      <c r="H526" s="167">
        <v>0</v>
      </c>
      <c r="I526" s="219">
        <f t="shared" si="29"/>
        <v>0</v>
      </c>
    </row>
    <row r="527" spans="2:9" ht="22.5" x14ac:dyDescent="0.2">
      <c r="B527" s="108">
        <f t="shared" si="28"/>
        <v>24</v>
      </c>
      <c r="C527" s="4"/>
      <c r="D527" s="4"/>
      <c r="E527" s="4"/>
      <c r="F527" s="33" t="s">
        <v>634</v>
      </c>
      <c r="G527" s="261">
        <v>547200</v>
      </c>
      <c r="H527" s="167">
        <v>0</v>
      </c>
      <c r="I527" s="219">
        <f t="shared" si="29"/>
        <v>0</v>
      </c>
    </row>
    <row r="528" spans="2:9" ht="22.5" x14ac:dyDescent="0.2">
      <c r="B528" s="108">
        <f t="shared" si="28"/>
        <v>25</v>
      </c>
      <c r="C528" s="4"/>
      <c r="D528" s="4"/>
      <c r="E528" s="4"/>
      <c r="F528" s="153" t="s">
        <v>630</v>
      </c>
      <c r="G528" s="261">
        <v>115332</v>
      </c>
      <c r="H528" s="167">
        <v>0</v>
      </c>
      <c r="I528" s="219">
        <f t="shared" si="29"/>
        <v>0</v>
      </c>
    </row>
    <row r="529" spans="2:9" ht="22.5" x14ac:dyDescent="0.2">
      <c r="B529" s="108">
        <f t="shared" si="28"/>
        <v>26</v>
      </c>
      <c r="C529" s="4"/>
      <c r="D529" s="4"/>
      <c r="E529" s="4"/>
      <c r="F529" s="153" t="s">
        <v>631</v>
      </c>
      <c r="G529" s="261">
        <v>170897</v>
      </c>
      <c r="H529" s="167">
        <v>0</v>
      </c>
      <c r="I529" s="219">
        <f t="shared" si="29"/>
        <v>0</v>
      </c>
    </row>
    <row r="530" spans="2:9" ht="33.75" x14ac:dyDescent="0.2">
      <c r="B530" s="108">
        <f t="shared" si="28"/>
        <v>27</v>
      </c>
      <c r="C530" s="4"/>
      <c r="D530" s="4"/>
      <c r="E530" s="4"/>
      <c r="F530" s="153" t="s">
        <v>632</v>
      </c>
      <c r="G530" s="261">
        <v>264194</v>
      </c>
      <c r="H530" s="167">
        <v>0</v>
      </c>
      <c r="I530" s="219">
        <f t="shared" si="29"/>
        <v>0</v>
      </c>
    </row>
    <row r="531" spans="2:9" ht="33.75" x14ac:dyDescent="0.2">
      <c r="B531" s="108">
        <f t="shared" si="28"/>
        <v>28</v>
      </c>
      <c r="C531" s="4"/>
      <c r="D531" s="4"/>
      <c r="E531" s="4"/>
      <c r="F531" s="153" t="s">
        <v>635</v>
      </c>
      <c r="G531" s="261">
        <v>759881</v>
      </c>
      <c r="H531" s="167">
        <v>0</v>
      </c>
      <c r="I531" s="219">
        <f t="shared" si="29"/>
        <v>0</v>
      </c>
    </row>
    <row r="532" spans="2:9" ht="13.5" thickBot="1" x14ac:dyDescent="0.25">
      <c r="B532" s="108">
        <f t="shared" si="28"/>
        <v>29</v>
      </c>
      <c r="C532" s="4"/>
      <c r="D532" s="4"/>
      <c r="E532" s="4"/>
      <c r="F532" s="4" t="s">
        <v>633</v>
      </c>
      <c r="G532" s="261">
        <v>806107</v>
      </c>
      <c r="H532" s="167">
        <v>0</v>
      </c>
      <c r="I532" s="219">
        <f t="shared" si="29"/>
        <v>0</v>
      </c>
    </row>
    <row r="533" spans="2:9" ht="15.75" thickBot="1" x14ac:dyDescent="0.3">
      <c r="B533" s="108">
        <f t="shared" si="28"/>
        <v>30</v>
      </c>
      <c r="C533" s="72">
        <v>9</v>
      </c>
      <c r="D533" s="141"/>
      <c r="E533" s="73"/>
      <c r="F533" s="9" t="s">
        <v>8</v>
      </c>
      <c r="G533" s="236">
        <f>G534</f>
        <v>966</v>
      </c>
      <c r="H533" s="250">
        <f>H534</f>
        <v>966</v>
      </c>
      <c r="I533" s="219">
        <f t="shared" si="29"/>
        <v>100</v>
      </c>
    </row>
    <row r="534" spans="2:9" x14ac:dyDescent="0.2">
      <c r="B534" s="108">
        <f t="shared" si="28"/>
        <v>31</v>
      </c>
      <c r="C534" s="68">
        <v>320</v>
      </c>
      <c r="D534" s="142"/>
      <c r="E534" s="69"/>
      <c r="F534" s="2" t="s">
        <v>289</v>
      </c>
      <c r="G534" s="238">
        <f>G535</f>
        <v>966</v>
      </c>
      <c r="H534" s="17">
        <f>H535</f>
        <v>966</v>
      </c>
      <c r="I534" s="219">
        <f t="shared" si="29"/>
        <v>100</v>
      </c>
    </row>
    <row r="535" spans="2:9" x14ac:dyDescent="0.2">
      <c r="B535" s="108">
        <f t="shared" si="28"/>
        <v>32</v>
      </c>
      <c r="C535" s="70"/>
      <c r="D535" s="65">
        <v>321</v>
      </c>
      <c r="E535" s="71"/>
      <c r="F535" s="3" t="s">
        <v>557</v>
      </c>
      <c r="G535" s="213">
        <v>966</v>
      </c>
      <c r="H535" s="18">
        <v>966</v>
      </c>
      <c r="I535" s="219">
        <f t="shared" si="29"/>
        <v>100</v>
      </c>
    </row>
    <row r="536" spans="2:9" ht="15.75" thickBot="1" x14ac:dyDescent="0.25">
      <c r="B536" s="108">
        <f t="shared" si="28"/>
        <v>33</v>
      </c>
      <c r="C536" s="156"/>
      <c r="D536" s="156"/>
      <c r="E536" s="156"/>
      <c r="F536" s="157" t="s">
        <v>44</v>
      </c>
      <c r="G536" s="262">
        <f>G503+G510</f>
        <v>8024464</v>
      </c>
      <c r="H536" s="264">
        <f>H503+H510</f>
        <v>4696116</v>
      </c>
      <c r="I536" s="259">
        <f t="shared" si="29"/>
        <v>58.52248823098963</v>
      </c>
    </row>
    <row r="537" spans="2:9" ht="13.5" thickBot="1" x14ac:dyDescent="0.25"/>
    <row r="538" spans="2:9" ht="12.75" customHeight="1" x14ac:dyDescent="0.2">
      <c r="B538" s="473" t="s">
        <v>45</v>
      </c>
      <c r="C538" s="474"/>
      <c r="D538" s="474"/>
      <c r="E538" s="474"/>
      <c r="F538" s="475"/>
      <c r="G538" s="470" t="s">
        <v>659</v>
      </c>
      <c r="H538" s="487" t="s">
        <v>661</v>
      </c>
      <c r="I538" s="490" t="s">
        <v>660</v>
      </c>
    </row>
    <row r="539" spans="2:9" x14ac:dyDescent="0.2">
      <c r="B539" s="476"/>
      <c r="C539" s="477"/>
      <c r="D539" s="477"/>
      <c r="E539" s="477"/>
      <c r="F539" s="478"/>
      <c r="G539" s="471"/>
      <c r="H539" s="488"/>
      <c r="I539" s="491"/>
    </row>
    <row r="540" spans="2:9" x14ac:dyDescent="0.2">
      <c r="B540" s="483" t="s">
        <v>120</v>
      </c>
      <c r="C540" s="485" t="s">
        <v>121</v>
      </c>
      <c r="D540" s="479" t="s">
        <v>122</v>
      </c>
      <c r="E540" s="479" t="s">
        <v>124</v>
      </c>
      <c r="F540" s="481" t="s">
        <v>123</v>
      </c>
      <c r="G540" s="471"/>
      <c r="H540" s="488"/>
      <c r="I540" s="491"/>
    </row>
    <row r="541" spans="2:9" ht="13.5" thickBot="1" x14ac:dyDescent="0.25">
      <c r="B541" s="484"/>
      <c r="C541" s="486"/>
      <c r="D541" s="480"/>
      <c r="E541" s="480"/>
      <c r="F541" s="482"/>
      <c r="G541" s="472"/>
      <c r="H541" s="489"/>
      <c r="I541" s="492"/>
    </row>
    <row r="542" spans="2:9" ht="15.75" thickTop="1" x14ac:dyDescent="0.2">
      <c r="B542" s="113">
        <v>1</v>
      </c>
      <c r="C542" s="1"/>
      <c r="D542" s="1"/>
      <c r="E542" s="1"/>
      <c r="F542" s="1" t="s">
        <v>125</v>
      </c>
      <c r="G542" s="265">
        <f>G497</f>
        <v>42582079</v>
      </c>
      <c r="H542" s="267">
        <f>H497</f>
        <v>43690964</v>
      </c>
      <c r="I542" s="219">
        <f t="shared" ref="I542:I544" si="30">H542/G542*100</f>
        <v>102.60411193168844</v>
      </c>
    </row>
    <row r="543" spans="2:9" ht="15.75" thickBot="1" x14ac:dyDescent="0.25">
      <c r="B543" s="113">
        <v>2</v>
      </c>
      <c r="C543" s="1"/>
      <c r="D543" s="1"/>
      <c r="E543" s="1"/>
      <c r="F543" s="1" t="s">
        <v>44</v>
      </c>
      <c r="G543" s="265">
        <f>G536</f>
        <v>8024464</v>
      </c>
      <c r="H543" s="267">
        <f>H536</f>
        <v>4696116</v>
      </c>
      <c r="I543" s="219">
        <f t="shared" si="30"/>
        <v>58.52248823098963</v>
      </c>
    </row>
    <row r="544" spans="2:9" ht="16.5" thickTop="1" thickBot="1" x14ac:dyDescent="0.25">
      <c r="B544" s="114">
        <v>3</v>
      </c>
      <c r="C544" s="115"/>
      <c r="D544" s="115"/>
      <c r="E544" s="115"/>
      <c r="F544" s="115" t="s">
        <v>45</v>
      </c>
      <c r="G544" s="266">
        <f>G543+G542</f>
        <v>50606543</v>
      </c>
      <c r="H544" s="268">
        <f>H543+H542</f>
        <v>48387080</v>
      </c>
      <c r="I544" s="259">
        <f t="shared" si="30"/>
        <v>95.614276596605308</v>
      </c>
    </row>
    <row r="545" spans="8:9" x14ac:dyDescent="0.2">
      <c r="H545" s="16"/>
      <c r="I545" s="16"/>
    </row>
  </sheetData>
  <mergeCells count="28">
    <mergeCell ref="I2:I5"/>
    <mergeCell ref="H499:H502"/>
    <mergeCell ref="I499:I502"/>
    <mergeCell ref="H538:H541"/>
    <mergeCell ref="I538:I541"/>
    <mergeCell ref="B540:B541"/>
    <mergeCell ref="C540:C541"/>
    <mergeCell ref="D540:D541"/>
    <mergeCell ref="E540:E541"/>
    <mergeCell ref="G538:G541"/>
    <mergeCell ref="F540:F541"/>
    <mergeCell ref="B538:F539"/>
    <mergeCell ref="B1:I1"/>
    <mergeCell ref="G499:G502"/>
    <mergeCell ref="B2:F3"/>
    <mergeCell ref="E4:E5"/>
    <mergeCell ref="B499:F500"/>
    <mergeCell ref="G2:G5"/>
    <mergeCell ref="F4:F5"/>
    <mergeCell ref="D501:D502"/>
    <mergeCell ref="E501:E502"/>
    <mergeCell ref="F501:F502"/>
    <mergeCell ref="B501:B502"/>
    <mergeCell ref="C501:C502"/>
    <mergeCell ref="B4:B5"/>
    <mergeCell ref="C4:C5"/>
    <mergeCell ref="D4:D5"/>
    <mergeCell ref="H2:H5"/>
  </mergeCells>
  <phoneticPr fontId="1" type="noConversion"/>
  <pageMargins left="0.23622047244094491" right="3.937007874015748E-2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1955"/>
  <sheetViews>
    <sheetView zoomScale="90" zoomScaleNormal="90" workbookViewId="0"/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5" customWidth="1"/>
    <col min="7" max="7" width="5" customWidth="1"/>
    <col min="8" max="8" width="38.42578125" customWidth="1"/>
    <col min="9" max="9" width="15.42578125" style="16" customWidth="1"/>
    <col min="10" max="10" width="13.5703125" style="16" customWidth="1"/>
    <col min="11" max="11" width="7.42578125" style="16" customWidth="1"/>
    <col min="12" max="12" width="1.42578125" style="76" customWidth="1"/>
    <col min="13" max="14" width="14.7109375" style="16" customWidth="1"/>
    <col min="15" max="15" width="7.28515625" style="16" customWidth="1"/>
    <col min="16" max="16" width="1.85546875" style="76" customWidth="1"/>
    <col min="17" max="17" width="12.5703125" style="16" customWidth="1"/>
    <col min="18" max="18" width="12.7109375" style="52" customWidth="1"/>
    <col min="19" max="19" width="5.85546875" style="52" customWidth="1"/>
    <col min="20" max="20" width="12.140625" style="52" customWidth="1"/>
    <col min="21" max="21" width="9.140625" style="52"/>
    <col min="22" max="22" width="11.140625" style="52" customWidth="1"/>
    <col min="23" max="23" width="9.140625" style="52" customWidth="1"/>
    <col min="24" max="24" width="8" style="52" customWidth="1"/>
    <col min="25" max="39" width="9.140625" style="52"/>
    <col min="40" max="40" width="6" style="52" customWidth="1"/>
    <col min="41" max="43" width="9.140625" style="52"/>
  </cols>
  <sheetData>
    <row r="3" spans="2:40" ht="27.75" thickBot="1" x14ac:dyDescent="0.4">
      <c r="B3" s="515" t="s">
        <v>490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2:40" ht="13.5" customHeight="1" thickBot="1" x14ac:dyDescent="0.25">
      <c r="B4" s="531" t="s">
        <v>352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3"/>
      <c r="P4" s="422"/>
      <c r="Q4" s="520" t="s">
        <v>662</v>
      </c>
      <c r="R4" s="548" t="s">
        <v>668</v>
      </c>
      <c r="S4" s="551" t="s">
        <v>663</v>
      </c>
      <c r="AN4" s="74"/>
    </row>
    <row r="5" spans="2:40" ht="12.75" customHeight="1" x14ac:dyDescent="0.2">
      <c r="B5" s="523"/>
      <c r="C5" s="526" t="s">
        <v>126</v>
      </c>
      <c r="D5" s="526" t="s">
        <v>127</v>
      </c>
      <c r="E5" s="526"/>
      <c r="F5" s="526" t="s">
        <v>128</v>
      </c>
      <c r="G5" s="507" t="s">
        <v>129</v>
      </c>
      <c r="H5" s="510" t="s">
        <v>130</v>
      </c>
      <c r="I5" s="497" t="s">
        <v>664</v>
      </c>
      <c r="J5" s="497" t="s">
        <v>666</v>
      </c>
      <c r="K5" s="500" t="s">
        <v>663</v>
      </c>
      <c r="L5" s="423"/>
      <c r="M5" s="563" t="s">
        <v>665</v>
      </c>
      <c r="N5" s="558" t="s">
        <v>667</v>
      </c>
      <c r="O5" s="559" t="s">
        <v>663</v>
      </c>
      <c r="P5" s="423"/>
      <c r="Q5" s="521"/>
      <c r="R5" s="549"/>
      <c r="S5" s="552"/>
      <c r="AN5" s="75"/>
    </row>
    <row r="6" spans="2:40" x14ac:dyDescent="0.2">
      <c r="B6" s="523"/>
      <c r="C6" s="526"/>
      <c r="D6" s="526"/>
      <c r="E6" s="526"/>
      <c r="F6" s="526"/>
      <c r="G6" s="507"/>
      <c r="H6" s="510"/>
      <c r="I6" s="497"/>
      <c r="J6" s="497"/>
      <c r="K6" s="500"/>
      <c r="L6" s="423"/>
      <c r="M6" s="564"/>
      <c r="N6" s="549"/>
      <c r="O6" s="552"/>
      <c r="P6" s="423"/>
      <c r="Q6" s="521"/>
      <c r="R6" s="549"/>
      <c r="S6" s="552"/>
      <c r="V6" s="76"/>
      <c r="W6" s="76"/>
      <c r="AN6" s="75"/>
    </row>
    <row r="7" spans="2:40" ht="18.75" customHeight="1" x14ac:dyDescent="0.2">
      <c r="B7" s="523"/>
      <c r="C7" s="526"/>
      <c r="D7" s="526"/>
      <c r="E7" s="526"/>
      <c r="F7" s="526"/>
      <c r="G7" s="507"/>
      <c r="H7" s="510"/>
      <c r="I7" s="497"/>
      <c r="J7" s="497"/>
      <c r="K7" s="500"/>
      <c r="L7" s="423"/>
      <c r="M7" s="564"/>
      <c r="N7" s="549"/>
      <c r="O7" s="552"/>
      <c r="P7" s="423"/>
      <c r="Q7" s="521"/>
      <c r="R7" s="549"/>
      <c r="S7" s="552"/>
      <c r="AN7" s="75"/>
    </row>
    <row r="8" spans="2:40" ht="18.75" customHeight="1" thickBot="1" x14ac:dyDescent="0.25">
      <c r="B8" s="524"/>
      <c r="C8" s="527"/>
      <c r="D8" s="527"/>
      <c r="E8" s="527"/>
      <c r="F8" s="527"/>
      <c r="G8" s="508"/>
      <c r="H8" s="511"/>
      <c r="I8" s="498"/>
      <c r="J8" s="498"/>
      <c r="K8" s="501"/>
      <c r="L8" s="423"/>
      <c r="M8" s="565"/>
      <c r="N8" s="550"/>
      <c r="O8" s="553"/>
      <c r="P8" s="423"/>
      <c r="Q8" s="557"/>
      <c r="R8" s="550"/>
      <c r="S8" s="553"/>
      <c r="AN8" s="75"/>
    </row>
    <row r="9" spans="2:40" ht="18.75" thickTop="1" x14ac:dyDescent="0.2">
      <c r="B9" s="77">
        <v>1</v>
      </c>
      <c r="C9" s="560" t="s">
        <v>42</v>
      </c>
      <c r="D9" s="561"/>
      <c r="E9" s="561"/>
      <c r="F9" s="561"/>
      <c r="G9" s="561"/>
      <c r="H9" s="561"/>
      <c r="I9" s="51">
        <f>I64+I61+I53+I42+I30+I10</f>
        <v>572353</v>
      </c>
      <c r="J9" s="51">
        <f>J64+J61+J53+J42+J30+J10</f>
        <v>415999</v>
      </c>
      <c r="K9" s="218">
        <f t="shared" ref="K9:K64" si="0">J9/I9*100</f>
        <v>72.68224330089997</v>
      </c>
      <c r="L9" s="216"/>
      <c r="M9" s="291">
        <f>M10+M30+M42+M50+M51+M52+M53+M61+M64</f>
        <v>192697</v>
      </c>
      <c r="N9" s="292">
        <f>N10+N30+N42+N50+N51+N52+N53+N61+N64</f>
        <v>13623</v>
      </c>
      <c r="O9" s="293">
        <f t="shared" ref="O9:O49" si="1">N9/M9*100</f>
        <v>7.0696482041754676</v>
      </c>
      <c r="P9" s="216"/>
      <c r="Q9" s="291">
        <f t="shared" ref="Q9:R40" si="2">I9+M9</f>
        <v>765050</v>
      </c>
      <c r="R9" s="292">
        <f t="shared" si="2"/>
        <v>429622</v>
      </c>
      <c r="S9" s="294">
        <f t="shared" ref="S9:S64" si="3">R9/Q9*100</f>
        <v>56.156068230834592</v>
      </c>
      <c r="AN9" s="75"/>
    </row>
    <row r="10" spans="2:40" ht="15" x14ac:dyDescent="0.2">
      <c r="B10" s="78">
        <f>B9+1</f>
        <v>2</v>
      </c>
      <c r="C10" s="430">
        <v>1</v>
      </c>
      <c r="D10" s="542" t="s">
        <v>205</v>
      </c>
      <c r="E10" s="543"/>
      <c r="F10" s="543"/>
      <c r="G10" s="543"/>
      <c r="H10" s="543"/>
      <c r="I10" s="35">
        <f>I24+I21+I18+I11</f>
        <v>156500</v>
      </c>
      <c r="J10" s="35">
        <f>J24+J21+J18+J11</f>
        <v>137157</v>
      </c>
      <c r="K10" s="218">
        <f t="shared" si="0"/>
        <v>87.640255591054313</v>
      </c>
      <c r="L10" s="276"/>
      <c r="M10" s="282">
        <v>0</v>
      </c>
      <c r="N10" s="35">
        <v>0</v>
      </c>
      <c r="O10" s="218"/>
      <c r="P10" s="271"/>
      <c r="Q10" s="282">
        <f t="shared" si="2"/>
        <v>156500</v>
      </c>
      <c r="R10" s="35">
        <f t="shared" si="2"/>
        <v>137157</v>
      </c>
      <c r="S10" s="219">
        <f t="shared" si="3"/>
        <v>87.640255591054313</v>
      </c>
      <c r="AN10" s="75"/>
    </row>
    <row r="11" spans="2:40" ht="15" x14ac:dyDescent="0.25">
      <c r="B11" s="78">
        <f>B10+1</f>
        <v>3</v>
      </c>
      <c r="C11" s="429"/>
      <c r="D11" s="429">
        <v>1</v>
      </c>
      <c r="E11" s="562" t="s">
        <v>219</v>
      </c>
      <c r="F11" s="543"/>
      <c r="G11" s="543"/>
      <c r="H11" s="543"/>
      <c r="I11" s="36">
        <f>I12</f>
        <v>21500</v>
      </c>
      <c r="J11" s="36">
        <f>J12</f>
        <v>17579</v>
      </c>
      <c r="K11" s="218">
        <f t="shared" si="0"/>
        <v>81.762790697674419</v>
      </c>
      <c r="L11" s="277"/>
      <c r="M11" s="283"/>
      <c r="N11" s="36"/>
      <c r="O11" s="218"/>
      <c r="P11" s="272"/>
      <c r="Q11" s="283">
        <f t="shared" si="2"/>
        <v>21500</v>
      </c>
      <c r="R11" s="36">
        <f t="shared" si="2"/>
        <v>17579</v>
      </c>
      <c r="S11" s="219">
        <f t="shared" si="3"/>
        <v>81.762790697674419</v>
      </c>
      <c r="AN11" s="75"/>
    </row>
    <row r="12" spans="2:40" x14ac:dyDescent="0.2">
      <c r="B12" s="78">
        <f t="shared" ref="B12:B64" si="4">B11+1</f>
        <v>4</v>
      </c>
      <c r="C12" s="7"/>
      <c r="D12" s="7"/>
      <c r="E12" s="7"/>
      <c r="F12" s="24" t="s">
        <v>81</v>
      </c>
      <c r="G12" s="7">
        <v>630</v>
      </c>
      <c r="H12" s="7" t="s">
        <v>133</v>
      </c>
      <c r="I12" s="22">
        <f>SUM(I13:I17)</f>
        <v>21500</v>
      </c>
      <c r="J12" s="22">
        <f>SUM(J13:J17)</f>
        <v>17579</v>
      </c>
      <c r="K12" s="218">
        <f t="shared" si="0"/>
        <v>81.762790697674419</v>
      </c>
      <c r="L12" s="278"/>
      <c r="M12" s="284"/>
      <c r="N12" s="22"/>
      <c r="O12" s="218"/>
      <c r="P12" s="273"/>
      <c r="Q12" s="284">
        <f t="shared" si="2"/>
        <v>21500</v>
      </c>
      <c r="R12" s="22">
        <f t="shared" si="2"/>
        <v>17579</v>
      </c>
      <c r="S12" s="219">
        <f t="shared" si="3"/>
        <v>81.762790697674419</v>
      </c>
      <c r="AN12" s="75"/>
    </row>
    <row r="13" spans="2:40" x14ac:dyDescent="0.2">
      <c r="B13" s="78">
        <f t="shared" si="4"/>
        <v>5</v>
      </c>
      <c r="C13" s="3"/>
      <c r="D13" s="3"/>
      <c r="E13" s="3"/>
      <c r="F13" s="25" t="s">
        <v>81</v>
      </c>
      <c r="G13" s="3">
        <v>631</v>
      </c>
      <c r="H13" s="3" t="s">
        <v>139</v>
      </c>
      <c r="I13" s="18">
        <v>4500</v>
      </c>
      <c r="J13" s="18">
        <v>3058</v>
      </c>
      <c r="K13" s="218">
        <f t="shared" si="0"/>
        <v>67.955555555555563</v>
      </c>
      <c r="L13" s="279"/>
      <c r="M13" s="285"/>
      <c r="N13" s="18"/>
      <c r="O13" s="218"/>
      <c r="P13" s="274"/>
      <c r="Q13" s="285">
        <f t="shared" si="2"/>
        <v>4500</v>
      </c>
      <c r="R13" s="18">
        <f t="shared" si="2"/>
        <v>3058</v>
      </c>
      <c r="S13" s="219">
        <f t="shared" si="3"/>
        <v>67.955555555555563</v>
      </c>
      <c r="AN13" s="57"/>
    </row>
    <row r="14" spans="2:40" x14ac:dyDescent="0.2">
      <c r="B14" s="78">
        <f t="shared" si="4"/>
        <v>6</v>
      </c>
      <c r="C14" s="3"/>
      <c r="D14" s="3"/>
      <c r="E14" s="3"/>
      <c r="F14" s="25" t="s">
        <v>81</v>
      </c>
      <c r="G14" s="3">
        <v>633</v>
      </c>
      <c r="H14" s="3" t="s">
        <v>137</v>
      </c>
      <c r="I14" s="18">
        <f>8000+2000</f>
        <v>10000</v>
      </c>
      <c r="J14" s="18">
        <v>9333</v>
      </c>
      <c r="K14" s="218">
        <f t="shared" si="0"/>
        <v>93.33</v>
      </c>
      <c r="L14" s="279"/>
      <c r="M14" s="285"/>
      <c r="N14" s="18"/>
      <c r="O14" s="218"/>
      <c r="P14" s="274"/>
      <c r="Q14" s="285">
        <f t="shared" si="2"/>
        <v>10000</v>
      </c>
      <c r="R14" s="18">
        <f t="shared" si="2"/>
        <v>9333</v>
      </c>
      <c r="S14" s="219">
        <f t="shared" si="3"/>
        <v>93.33</v>
      </c>
    </row>
    <row r="15" spans="2:40" x14ac:dyDescent="0.2">
      <c r="B15" s="78">
        <f t="shared" si="4"/>
        <v>7</v>
      </c>
      <c r="C15" s="3"/>
      <c r="D15" s="3"/>
      <c r="E15" s="3"/>
      <c r="F15" s="25" t="s">
        <v>81</v>
      </c>
      <c r="G15" s="3">
        <v>634</v>
      </c>
      <c r="H15" s="3" t="s">
        <v>144</v>
      </c>
      <c r="I15" s="18">
        <f>500+550</f>
        <v>1050</v>
      </c>
      <c r="J15" s="18">
        <v>1020</v>
      </c>
      <c r="K15" s="218">
        <f t="shared" si="0"/>
        <v>97.142857142857139</v>
      </c>
      <c r="L15" s="279"/>
      <c r="M15" s="285"/>
      <c r="N15" s="18"/>
      <c r="O15" s="218"/>
      <c r="P15" s="274"/>
      <c r="Q15" s="285">
        <f t="shared" si="2"/>
        <v>1050</v>
      </c>
      <c r="R15" s="18">
        <f t="shared" si="2"/>
        <v>1020</v>
      </c>
      <c r="S15" s="219">
        <f t="shared" si="3"/>
        <v>97.142857142857139</v>
      </c>
    </row>
    <row r="16" spans="2:40" x14ac:dyDescent="0.2">
      <c r="B16" s="78">
        <f t="shared" si="4"/>
        <v>8</v>
      </c>
      <c r="C16" s="3"/>
      <c r="D16" s="3"/>
      <c r="E16" s="3"/>
      <c r="F16" s="25" t="s">
        <v>81</v>
      </c>
      <c r="G16" s="3">
        <v>636</v>
      </c>
      <c r="H16" s="3" t="s">
        <v>138</v>
      </c>
      <c r="I16" s="18">
        <v>500</v>
      </c>
      <c r="J16" s="18">
        <v>320</v>
      </c>
      <c r="K16" s="218">
        <f t="shared" si="0"/>
        <v>64</v>
      </c>
      <c r="L16" s="279"/>
      <c r="M16" s="285"/>
      <c r="N16" s="18"/>
      <c r="O16" s="218"/>
      <c r="P16" s="274"/>
      <c r="Q16" s="285">
        <f t="shared" si="2"/>
        <v>500</v>
      </c>
      <c r="R16" s="18">
        <f t="shared" si="2"/>
        <v>320</v>
      </c>
      <c r="S16" s="219">
        <f t="shared" si="3"/>
        <v>64</v>
      </c>
    </row>
    <row r="17" spans="2:19" x14ac:dyDescent="0.2">
      <c r="B17" s="78">
        <f t="shared" si="4"/>
        <v>9</v>
      </c>
      <c r="C17" s="3"/>
      <c r="D17" s="3"/>
      <c r="E17" s="3"/>
      <c r="F17" s="25" t="s">
        <v>81</v>
      </c>
      <c r="G17" s="3">
        <v>637</v>
      </c>
      <c r="H17" s="3" t="s">
        <v>134</v>
      </c>
      <c r="I17" s="18">
        <f>6000-550</f>
        <v>5450</v>
      </c>
      <c r="J17" s="18">
        <v>3848</v>
      </c>
      <c r="K17" s="218">
        <f t="shared" si="0"/>
        <v>70.605504587155963</v>
      </c>
      <c r="L17" s="279"/>
      <c r="M17" s="285"/>
      <c r="N17" s="18"/>
      <c r="O17" s="218"/>
      <c r="P17" s="274"/>
      <c r="Q17" s="285">
        <f t="shared" si="2"/>
        <v>5450</v>
      </c>
      <c r="R17" s="18">
        <f t="shared" si="2"/>
        <v>3848</v>
      </c>
      <c r="S17" s="219">
        <f t="shared" si="3"/>
        <v>70.605504587155963</v>
      </c>
    </row>
    <row r="18" spans="2:19" ht="15" x14ac:dyDescent="0.25">
      <c r="B18" s="78">
        <f t="shared" si="4"/>
        <v>10</v>
      </c>
      <c r="C18" s="429"/>
      <c r="D18" s="429">
        <v>2</v>
      </c>
      <c r="E18" s="493" t="s">
        <v>246</v>
      </c>
      <c r="F18" s="494"/>
      <c r="G18" s="494"/>
      <c r="H18" s="495"/>
      <c r="I18" s="36">
        <f>I19</f>
        <v>2000</v>
      </c>
      <c r="J18" s="36">
        <f>J19</f>
        <v>1997</v>
      </c>
      <c r="K18" s="218">
        <f t="shared" si="0"/>
        <v>99.850000000000009</v>
      </c>
      <c r="L18" s="277"/>
      <c r="M18" s="283">
        <v>0</v>
      </c>
      <c r="N18" s="36">
        <v>0</v>
      </c>
      <c r="O18" s="218"/>
      <c r="P18" s="272"/>
      <c r="Q18" s="283">
        <f t="shared" si="2"/>
        <v>2000</v>
      </c>
      <c r="R18" s="36">
        <f t="shared" si="2"/>
        <v>1997</v>
      </c>
      <c r="S18" s="219">
        <f t="shared" si="3"/>
        <v>99.850000000000009</v>
      </c>
    </row>
    <row r="19" spans="2:19" x14ac:dyDescent="0.2">
      <c r="B19" s="78">
        <f t="shared" si="4"/>
        <v>11</v>
      </c>
      <c r="C19" s="7"/>
      <c r="D19" s="7"/>
      <c r="E19" s="7"/>
      <c r="F19" s="24" t="s">
        <v>81</v>
      </c>
      <c r="G19" s="7">
        <v>630</v>
      </c>
      <c r="H19" s="7" t="s">
        <v>133</v>
      </c>
      <c r="I19" s="22">
        <f>I20</f>
        <v>2000</v>
      </c>
      <c r="J19" s="22">
        <f>J20</f>
        <v>1997</v>
      </c>
      <c r="K19" s="218">
        <f t="shared" si="0"/>
        <v>99.850000000000009</v>
      </c>
      <c r="L19" s="278"/>
      <c r="M19" s="284"/>
      <c r="N19" s="22"/>
      <c r="O19" s="218"/>
      <c r="P19" s="273"/>
      <c r="Q19" s="284">
        <f t="shared" si="2"/>
        <v>2000</v>
      </c>
      <c r="R19" s="22">
        <f t="shared" si="2"/>
        <v>1997</v>
      </c>
      <c r="S19" s="219">
        <f t="shared" si="3"/>
        <v>99.850000000000009</v>
      </c>
    </row>
    <row r="20" spans="2:19" x14ac:dyDescent="0.2">
      <c r="B20" s="78">
        <f t="shared" si="4"/>
        <v>12</v>
      </c>
      <c r="C20" s="3"/>
      <c r="D20" s="3"/>
      <c r="E20" s="3"/>
      <c r="F20" s="25" t="s">
        <v>81</v>
      </c>
      <c r="G20" s="3">
        <v>633</v>
      </c>
      <c r="H20" s="3" t="s">
        <v>137</v>
      </c>
      <c r="I20" s="18">
        <v>2000</v>
      </c>
      <c r="J20" s="18">
        <v>1997</v>
      </c>
      <c r="K20" s="218">
        <f t="shared" si="0"/>
        <v>99.850000000000009</v>
      </c>
      <c r="L20" s="279"/>
      <c r="M20" s="285"/>
      <c r="N20" s="18"/>
      <c r="O20" s="218"/>
      <c r="P20" s="274"/>
      <c r="Q20" s="285">
        <f t="shared" si="2"/>
        <v>2000</v>
      </c>
      <c r="R20" s="18">
        <f t="shared" si="2"/>
        <v>1997</v>
      </c>
      <c r="S20" s="219">
        <f t="shared" si="3"/>
        <v>99.850000000000009</v>
      </c>
    </row>
    <row r="21" spans="2:19" ht="15" x14ac:dyDescent="0.25">
      <c r="B21" s="78">
        <f t="shared" si="4"/>
        <v>13</v>
      </c>
      <c r="C21" s="429"/>
      <c r="D21" s="429">
        <v>3</v>
      </c>
      <c r="E21" s="493" t="s">
        <v>247</v>
      </c>
      <c r="F21" s="494"/>
      <c r="G21" s="494"/>
      <c r="H21" s="495"/>
      <c r="I21" s="36">
        <f>I22</f>
        <v>1000</v>
      </c>
      <c r="J21" s="36">
        <f>J22</f>
        <v>895</v>
      </c>
      <c r="K21" s="218">
        <f t="shared" si="0"/>
        <v>89.5</v>
      </c>
      <c r="L21" s="277"/>
      <c r="M21" s="283">
        <v>0</v>
      </c>
      <c r="N21" s="36">
        <v>0</v>
      </c>
      <c r="O21" s="218"/>
      <c r="P21" s="272"/>
      <c r="Q21" s="283">
        <f t="shared" si="2"/>
        <v>1000</v>
      </c>
      <c r="R21" s="36">
        <f t="shared" si="2"/>
        <v>895</v>
      </c>
      <c r="S21" s="219">
        <f t="shared" si="3"/>
        <v>89.5</v>
      </c>
    </row>
    <row r="22" spans="2:19" x14ac:dyDescent="0.2">
      <c r="B22" s="78">
        <f t="shared" si="4"/>
        <v>14</v>
      </c>
      <c r="C22" s="7"/>
      <c r="D22" s="7"/>
      <c r="E22" s="7"/>
      <c r="F22" s="24" t="s">
        <v>81</v>
      </c>
      <c r="G22" s="7">
        <v>630</v>
      </c>
      <c r="H22" s="7" t="s">
        <v>133</v>
      </c>
      <c r="I22" s="22">
        <f>I23</f>
        <v>1000</v>
      </c>
      <c r="J22" s="22">
        <f>J23</f>
        <v>895</v>
      </c>
      <c r="K22" s="218">
        <f t="shared" si="0"/>
        <v>89.5</v>
      </c>
      <c r="L22" s="278"/>
      <c r="M22" s="284"/>
      <c r="N22" s="22"/>
      <c r="O22" s="218"/>
      <c r="P22" s="273"/>
      <c r="Q22" s="284">
        <f t="shared" si="2"/>
        <v>1000</v>
      </c>
      <c r="R22" s="22">
        <f t="shared" si="2"/>
        <v>895</v>
      </c>
      <c r="S22" s="219">
        <f t="shared" si="3"/>
        <v>89.5</v>
      </c>
    </row>
    <row r="23" spans="2:19" x14ac:dyDescent="0.2">
      <c r="B23" s="78">
        <f t="shared" si="4"/>
        <v>15</v>
      </c>
      <c r="C23" s="3"/>
      <c r="D23" s="3"/>
      <c r="E23" s="3"/>
      <c r="F23" s="25" t="s">
        <v>81</v>
      </c>
      <c r="G23" s="3">
        <v>633</v>
      </c>
      <c r="H23" s="3" t="s">
        <v>137</v>
      </c>
      <c r="I23" s="18">
        <v>1000</v>
      </c>
      <c r="J23" s="18">
        <v>895</v>
      </c>
      <c r="K23" s="218">
        <f t="shared" si="0"/>
        <v>89.5</v>
      </c>
      <c r="L23" s="279"/>
      <c r="M23" s="285"/>
      <c r="N23" s="18"/>
      <c r="O23" s="218"/>
      <c r="P23" s="274"/>
      <c r="Q23" s="285">
        <f t="shared" si="2"/>
        <v>1000</v>
      </c>
      <c r="R23" s="18">
        <f t="shared" si="2"/>
        <v>895</v>
      </c>
      <c r="S23" s="219">
        <f t="shared" si="3"/>
        <v>89.5</v>
      </c>
    </row>
    <row r="24" spans="2:19" ht="15" x14ac:dyDescent="0.25">
      <c r="B24" s="78">
        <f t="shared" si="4"/>
        <v>16</v>
      </c>
      <c r="C24" s="429"/>
      <c r="D24" s="429">
        <v>4</v>
      </c>
      <c r="E24" s="493" t="s">
        <v>204</v>
      </c>
      <c r="F24" s="494"/>
      <c r="G24" s="494"/>
      <c r="H24" s="495"/>
      <c r="I24" s="36">
        <f>I25+I26</f>
        <v>132000</v>
      </c>
      <c r="J24" s="36">
        <f>J25+J26</f>
        <v>116686</v>
      </c>
      <c r="K24" s="218">
        <f t="shared" si="0"/>
        <v>88.398484848484856</v>
      </c>
      <c r="L24" s="277"/>
      <c r="M24" s="283">
        <v>0</v>
      </c>
      <c r="N24" s="36">
        <v>0</v>
      </c>
      <c r="O24" s="218"/>
      <c r="P24" s="272"/>
      <c r="Q24" s="283">
        <f t="shared" si="2"/>
        <v>132000</v>
      </c>
      <c r="R24" s="36">
        <f t="shared" si="2"/>
        <v>116686</v>
      </c>
      <c r="S24" s="219">
        <f t="shared" si="3"/>
        <v>88.398484848484856</v>
      </c>
    </row>
    <row r="25" spans="2:19" x14ac:dyDescent="0.2">
      <c r="B25" s="78">
        <f t="shared" si="4"/>
        <v>17</v>
      </c>
      <c r="C25" s="7"/>
      <c r="D25" s="7"/>
      <c r="E25" s="7"/>
      <c r="F25" s="24" t="s">
        <v>81</v>
      </c>
      <c r="G25" s="7">
        <v>620</v>
      </c>
      <c r="H25" s="7" t="s">
        <v>136</v>
      </c>
      <c r="I25" s="22">
        <f>39600-9000</f>
        <v>30600</v>
      </c>
      <c r="J25" s="22">
        <v>26989</v>
      </c>
      <c r="K25" s="218">
        <f t="shared" si="0"/>
        <v>88.199346405228766</v>
      </c>
      <c r="L25" s="278"/>
      <c r="M25" s="284"/>
      <c r="N25" s="22"/>
      <c r="O25" s="218"/>
      <c r="P25" s="273"/>
      <c r="Q25" s="284">
        <f t="shared" si="2"/>
        <v>30600</v>
      </c>
      <c r="R25" s="22">
        <f t="shared" si="2"/>
        <v>26989</v>
      </c>
      <c r="S25" s="219">
        <f t="shared" si="3"/>
        <v>88.199346405228766</v>
      </c>
    </row>
    <row r="26" spans="2:19" x14ac:dyDescent="0.2">
      <c r="B26" s="78">
        <f t="shared" si="4"/>
        <v>18</v>
      </c>
      <c r="C26" s="7"/>
      <c r="D26" s="7"/>
      <c r="E26" s="7"/>
      <c r="F26" s="24" t="s">
        <v>81</v>
      </c>
      <c r="G26" s="7">
        <v>630</v>
      </c>
      <c r="H26" s="7" t="s">
        <v>133</v>
      </c>
      <c r="I26" s="22">
        <f>SUM(I27:I29)</f>
        <v>101400</v>
      </c>
      <c r="J26" s="22">
        <f>SUM(J27:J29)</f>
        <v>89697</v>
      </c>
      <c r="K26" s="218">
        <f t="shared" si="0"/>
        <v>88.458579881656803</v>
      </c>
      <c r="L26" s="278"/>
      <c r="M26" s="284"/>
      <c r="N26" s="22"/>
      <c r="O26" s="218"/>
      <c r="P26" s="273"/>
      <c r="Q26" s="284">
        <f t="shared" si="2"/>
        <v>101400</v>
      </c>
      <c r="R26" s="22">
        <f t="shared" si="2"/>
        <v>89697</v>
      </c>
      <c r="S26" s="219">
        <f t="shared" si="3"/>
        <v>88.458579881656803</v>
      </c>
    </row>
    <row r="27" spans="2:19" x14ac:dyDescent="0.2">
      <c r="B27" s="78">
        <f t="shared" si="4"/>
        <v>19</v>
      </c>
      <c r="C27" s="3"/>
      <c r="D27" s="3"/>
      <c r="E27" s="3"/>
      <c r="F27" s="25" t="s">
        <v>81</v>
      </c>
      <c r="G27" s="3">
        <v>632</v>
      </c>
      <c r="H27" s="3" t="s">
        <v>146</v>
      </c>
      <c r="I27" s="18">
        <v>10600</v>
      </c>
      <c r="J27" s="18">
        <v>9137</v>
      </c>
      <c r="K27" s="218">
        <f t="shared" si="0"/>
        <v>86.198113207547166</v>
      </c>
      <c r="L27" s="279"/>
      <c r="M27" s="285"/>
      <c r="N27" s="18"/>
      <c r="O27" s="218"/>
      <c r="P27" s="274"/>
      <c r="Q27" s="285">
        <f t="shared" si="2"/>
        <v>10600</v>
      </c>
      <c r="R27" s="18">
        <f t="shared" si="2"/>
        <v>9137</v>
      </c>
      <c r="S27" s="219">
        <f t="shared" si="3"/>
        <v>86.198113207547166</v>
      </c>
    </row>
    <row r="28" spans="2:19" x14ac:dyDescent="0.2">
      <c r="B28" s="78">
        <f t="shared" si="4"/>
        <v>20</v>
      </c>
      <c r="C28" s="3"/>
      <c r="D28" s="3"/>
      <c r="E28" s="3"/>
      <c r="F28" s="25" t="s">
        <v>81</v>
      </c>
      <c r="G28" s="3">
        <v>633</v>
      </c>
      <c r="H28" s="3" t="s">
        <v>137</v>
      </c>
      <c r="I28" s="18">
        <v>3000</v>
      </c>
      <c r="J28" s="18">
        <v>938</v>
      </c>
      <c r="K28" s="218">
        <f t="shared" si="0"/>
        <v>31.266666666666666</v>
      </c>
      <c r="L28" s="279"/>
      <c r="M28" s="285"/>
      <c r="N28" s="18"/>
      <c r="O28" s="218"/>
      <c r="P28" s="274"/>
      <c r="Q28" s="285">
        <f t="shared" si="2"/>
        <v>3000</v>
      </c>
      <c r="R28" s="18">
        <f t="shared" si="2"/>
        <v>938</v>
      </c>
      <c r="S28" s="219">
        <f t="shared" si="3"/>
        <v>31.266666666666666</v>
      </c>
    </row>
    <row r="29" spans="2:19" x14ac:dyDescent="0.2">
      <c r="B29" s="78">
        <f t="shared" si="4"/>
        <v>21</v>
      </c>
      <c r="C29" s="3"/>
      <c r="D29" s="3"/>
      <c r="E29" s="3"/>
      <c r="F29" s="25" t="s">
        <v>81</v>
      </c>
      <c r="G29" s="3">
        <v>637</v>
      </c>
      <c r="H29" s="3" t="s">
        <v>134</v>
      </c>
      <c r="I29" s="18">
        <f>113500-13000-3200-8000-1500</f>
        <v>87800</v>
      </c>
      <c r="J29" s="18">
        <v>79622</v>
      </c>
      <c r="K29" s="218">
        <f t="shared" si="0"/>
        <v>90.685649202733487</v>
      </c>
      <c r="L29" s="279"/>
      <c r="M29" s="285"/>
      <c r="N29" s="18"/>
      <c r="O29" s="218"/>
      <c r="P29" s="274"/>
      <c r="Q29" s="285">
        <f t="shared" si="2"/>
        <v>87800</v>
      </c>
      <c r="R29" s="18">
        <f t="shared" si="2"/>
        <v>79622</v>
      </c>
      <c r="S29" s="219">
        <f t="shared" si="3"/>
        <v>90.685649202733487</v>
      </c>
    </row>
    <row r="30" spans="2:19" ht="15" x14ac:dyDescent="0.2">
      <c r="B30" s="78">
        <f t="shared" si="4"/>
        <v>22</v>
      </c>
      <c r="C30" s="430">
        <v>2</v>
      </c>
      <c r="D30" s="505" t="s">
        <v>218</v>
      </c>
      <c r="E30" s="494"/>
      <c r="F30" s="494"/>
      <c r="G30" s="494"/>
      <c r="H30" s="495"/>
      <c r="I30" s="35">
        <f>I31+I32+I37</f>
        <v>161300</v>
      </c>
      <c r="J30" s="35">
        <f>J31+J32+J37</f>
        <v>121028</v>
      </c>
      <c r="K30" s="218">
        <f t="shared" si="0"/>
        <v>75.032858028518291</v>
      </c>
      <c r="L30" s="276"/>
      <c r="M30" s="282">
        <f>M37</f>
        <v>88000</v>
      </c>
      <c r="N30" s="35">
        <f>N37</f>
        <v>7325</v>
      </c>
      <c r="O30" s="218">
        <f t="shared" si="1"/>
        <v>8.3238636363636367</v>
      </c>
      <c r="P30" s="271"/>
      <c r="Q30" s="282">
        <f t="shared" si="2"/>
        <v>249300</v>
      </c>
      <c r="R30" s="35">
        <f t="shared" si="2"/>
        <v>128353</v>
      </c>
      <c r="S30" s="219">
        <f t="shared" si="3"/>
        <v>51.485359005214605</v>
      </c>
    </row>
    <row r="31" spans="2:19" x14ac:dyDescent="0.2">
      <c r="B31" s="78">
        <f t="shared" si="4"/>
        <v>23</v>
      </c>
      <c r="C31" s="7"/>
      <c r="D31" s="7"/>
      <c r="E31" s="7"/>
      <c r="F31" s="24" t="s">
        <v>217</v>
      </c>
      <c r="G31" s="7">
        <v>620</v>
      </c>
      <c r="H31" s="7" t="s">
        <v>136</v>
      </c>
      <c r="I31" s="22">
        <f>4500</f>
        <v>4500</v>
      </c>
      <c r="J31" s="22">
        <v>4247</v>
      </c>
      <c r="K31" s="218">
        <f t="shared" si="0"/>
        <v>94.37777777777778</v>
      </c>
      <c r="L31" s="278"/>
      <c r="M31" s="284"/>
      <c r="N31" s="22"/>
      <c r="O31" s="218"/>
      <c r="P31" s="273"/>
      <c r="Q31" s="284">
        <f t="shared" si="2"/>
        <v>4500</v>
      </c>
      <c r="R31" s="22">
        <f t="shared" si="2"/>
        <v>4247</v>
      </c>
      <c r="S31" s="219">
        <f t="shared" si="3"/>
        <v>94.37777777777778</v>
      </c>
    </row>
    <row r="32" spans="2:19" x14ac:dyDescent="0.2">
      <c r="B32" s="78">
        <f t="shared" si="4"/>
        <v>24</v>
      </c>
      <c r="C32" s="7"/>
      <c r="D32" s="7"/>
      <c r="E32" s="7"/>
      <c r="F32" s="24" t="s">
        <v>217</v>
      </c>
      <c r="G32" s="7">
        <v>630</v>
      </c>
      <c r="H32" s="7" t="s">
        <v>133</v>
      </c>
      <c r="I32" s="22">
        <f>SUM(I33:I36)</f>
        <v>156800</v>
      </c>
      <c r="J32" s="22">
        <f>SUM(J33:J36)</f>
        <v>116781</v>
      </c>
      <c r="K32" s="218">
        <f t="shared" si="0"/>
        <v>74.477678571428569</v>
      </c>
      <c r="L32" s="278"/>
      <c r="M32" s="284"/>
      <c r="N32" s="22"/>
      <c r="O32" s="218"/>
      <c r="P32" s="273"/>
      <c r="Q32" s="284">
        <f t="shared" si="2"/>
        <v>156800</v>
      </c>
      <c r="R32" s="22">
        <f t="shared" si="2"/>
        <v>116781</v>
      </c>
      <c r="S32" s="219">
        <f t="shared" si="3"/>
        <v>74.477678571428569</v>
      </c>
    </row>
    <row r="33" spans="2:43" x14ac:dyDescent="0.2">
      <c r="B33" s="78">
        <f t="shared" si="4"/>
        <v>25</v>
      </c>
      <c r="C33" s="3"/>
      <c r="D33" s="3"/>
      <c r="E33" s="3"/>
      <c r="F33" s="25" t="s">
        <v>217</v>
      </c>
      <c r="G33" s="3">
        <v>631</v>
      </c>
      <c r="H33" s="3" t="s">
        <v>139</v>
      </c>
      <c r="I33" s="18">
        <v>500</v>
      </c>
      <c r="J33" s="18">
        <v>0</v>
      </c>
      <c r="K33" s="218">
        <f t="shared" si="0"/>
        <v>0</v>
      </c>
      <c r="L33" s="279"/>
      <c r="M33" s="285"/>
      <c r="N33" s="18"/>
      <c r="O33" s="218"/>
      <c r="P33" s="274"/>
      <c r="Q33" s="285">
        <f t="shared" si="2"/>
        <v>500</v>
      </c>
      <c r="R33" s="18">
        <f t="shared" si="2"/>
        <v>0</v>
      </c>
      <c r="S33" s="219">
        <f t="shared" si="3"/>
        <v>0</v>
      </c>
    </row>
    <row r="34" spans="2:43" x14ac:dyDescent="0.2">
      <c r="B34" s="78">
        <f t="shared" si="4"/>
        <v>26</v>
      </c>
      <c r="C34" s="3"/>
      <c r="D34" s="3"/>
      <c r="E34" s="3"/>
      <c r="F34" s="25" t="s">
        <v>217</v>
      </c>
      <c r="G34" s="3">
        <v>633</v>
      </c>
      <c r="H34" s="3" t="s">
        <v>137</v>
      </c>
      <c r="I34" s="18">
        <v>3500</v>
      </c>
      <c r="J34" s="18">
        <v>1321</v>
      </c>
      <c r="K34" s="218">
        <f t="shared" si="0"/>
        <v>37.742857142857147</v>
      </c>
      <c r="L34" s="279"/>
      <c r="M34" s="285"/>
      <c r="N34" s="18"/>
      <c r="O34" s="218"/>
      <c r="P34" s="274"/>
      <c r="Q34" s="285">
        <f t="shared" si="2"/>
        <v>3500</v>
      </c>
      <c r="R34" s="18">
        <f t="shared" si="2"/>
        <v>1321</v>
      </c>
      <c r="S34" s="219">
        <f t="shared" si="3"/>
        <v>37.742857142857147</v>
      </c>
    </row>
    <row r="35" spans="2:43" x14ac:dyDescent="0.2">
      <c r="B35" s="78">
        <f t="shared" si="4"/>
        <v>27</v>
      </c>
      <c r="C35" s="3"/>
      <c r="D35" s="3"/>
      <c r="E35" s="3"/>
      <c r="F35" s="25" t="s">
        <v>217</v>
      </c>
      <c r="G35" s="3">
        <v>635</v>
      </c>
      <c r="H35" s="3" t="s">
        <v>145</v>
      </c>
      <c r="I35" s="18">
        <v>3000</v>
      </c>
      <c r="J35" s="18">
        <v>2792</v>
      </c>
      <c r="K35" s="218">
        <f t="shared" si="0"/>
        <v>93.066666666666663</v>
      </c>
      <c r="L35" s="279"/>
      <c r="M35" s="285"/>
      <c r="N35" s="18"/>
      <c r="O35" s="218"/>
      <c r="P35" s="274"/>
      <c r="Q35" s="285">
        <f t="shared" si="2"/>
        <v>3000</v>
      </c>
      <c r="R35" s="18">
        <f t="shared" si="2"/>
        <v>2792</v>
      </c>
      <c r="S35" s="219">
        <f t="shared" si="3"/>
        <v>93.066666666666663</v>
      </c>
    </row>
    <row r="36" spans="2:43" x14ac:dyDescent="0.2">
      <c r="B36" s="78">
        <f t="shared" si="4"/>
        <v>28</v>
      </c>
      <c r="C36" s="3"/>
      <c r="D36" s="3"/>
      <c r="E36" s="3"/>
      <c r="F36" s="25" t="s">
        <v>217</v>
      </c>
      <c r="G36" s="3">
        <v>637</v>
      </c>
      <c r="H36" s="3" t="s">
        <v>134</v>
      </c>
      <c r="I36" s="18">
        <f>153800-4000</f>
        <v>149800</v>
      </c>
      <c r="J36" s="18">
        <v>112668</v>
      </c>
      <c r="K36" s="218">
        <f t="shared" si="0"/>
        <v>75.212283044058751</v>
      </c>
      <c r="L36" s="279"/>
      <c r="M36" s="285"/>
      <c r="N36" s="18"/>
      <c r="O36" s="218"/>
      <c r="P36" s="274"/>
      <c r="Q36" s="285">
        <f t="shared" si="2"/>
        <v>149800</v>
      </c>
      <c r="R36" s="18">
        <f t="shared" si="2"/>
        <v>112668</v>
      </c>
      <c r="S36" s="219">
        <f t="shared" si="3"/>
        <v>75.212283044058751</v>
      </c>
    </row>
    <row r="37" spans="2:43" x14ac:dyDescent="0.2">
      <c r="B37" s="78">
        <f t="shared" si="4"/>
        <v>29</v>
      </c>
      <c r="C37" s="7"/>
      <c r="D37" s="7"/>
      <c r="E37" s="7"/>
      <c r="F37" s="24" t="s">
        <v>217</v>
      </c>
      <c r="G37" s="7">
        <v>710</v>
      </c>
      <c r="H37" s="7" t="s">
        <v>188</v>
      </c>
      <c r="I37" s="22"/>
      <c r="J37" s="22"/>
      <c r="K37" s="218"/>
      <c r="L37" s="278"/>
      <c r="M37" s="284">
        <f>M38+M40</f>
        <v>88000</v>
      </c>
      <c r="N37" s="22">
        <f>N38+N40</f>
        <v>7325</v>
      </c>
      <c r="O37" s="218">
        <f t="shared" si="1"/>
        <v>8.3238636363636367</v>
      </c>
      <c r="P37" s="273"/>
      <c r="Q37" s="284">
        <f t="shared" si="2"/>
        <v>88000</v>
      </c>
      <c r="R37" s="22">
        <f t="shared" si="2"/>
        <v>7325</v>
      </c>
      <c r="S37" s="219">
        <f t="shared" si="3"/>
        <v>8.3238636363636367</v>
      </c>
    </row>
    <row r="38" spans="2:43" x14ac:dyDescent="0.2">
      <c r="B38" s="78">
        <f t="shared" si="4"/>
        <v>30</v>
      </c>
      <c r="C38" s="3"/>
      <c r="D38" s="3"/>
      <c r="E38" s="3"/>
      <c r="F38" s="25" t="s">
        <v>217</v>
      </c>
      <c r="G38" s="3">
        <v>711</v>
      </c>
      <c r="H38" s="3" t="s">
        <v>224</v>
      </c>
      <c r="I38" s="18"/>
      <c r="J38" s="18"/>
      <c r="K38" s="218"/>
      <c r="L38" s="279"/>
      <c r="M38" s="285">
        <f>M39</f>
        <v>13000</v>
      </c>
      <c r="N38" s="18">
        <f>N39</f>
        <v>7325</v>
      </c>
      <c r="O38" s="218">
        <f t="shared" si="1"/>
        <v>56.346153846153847</v>
      </c>
      <c r="P38" s="274"/>
      <c r="Q38" s="285">
        <f t="shared" si="2"/>
        <v>13000</v>
      </c>
      <c r="R38" s="18">
        <f t="shared" si="2"/>
        <v>7325</v>
      </c>
      <c r="S38" s="219">
        <f t="shared" si="3"/>
        <v>56.346153846153847</v>
      </c>
    </row>
    <row r="39" spans="2:43" s="32" customFormat="1" ht="12" x14ac:dyDescent="0.2">
      <c r="B39" s="78">
        <f t="shared" si="4"/>
        <v>31</v>
      </c>
      <c r="C39" s="4"/>
      <c r="D39" s="4"/>
      <c r="E39" s="4"/>
      <c r="F39" s="30"/>
      <c r="G39" s="4"/>
      <c r="H39" s="4" t="s">
        <v>355</v>
      </c>
      <c r="I39" s="20"/>
      <c r="J39" s="20"/>
      <c r="K39" s="218"/>
      <c r="L39" s="280"/>
      <c r="M39" s="286">
        <f>30000-17000</f>
        <v>13000</v>
      </c>
      <c r="N39" s="20">
        <v>7325</v>
      </c>
      <c r="O39" s="218">
        <f t="shared" si="1"/>
        <v>56.346153846153847</v>
      </c>
      <c r="P39" s="275"/>
      <c r="Q39" s="286">
        <f t="shared" si="2"/>
        <v>13000</v>
      </c>
      <c r="R39" s="20">
        <f t="shared" si="2"/>
        <v>7325</v>
      </c>
      <c r="S39" s="219">
        <f t="shared" si="3"/>
        <v>56.346153846153847</v>
      </c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2:43" x14ac:dyDescent="0.2">
      <c r="B40" s="78">
        <f t="shared" si="4"/>
        <v>32</v>
      </c>
      <c r="C40" s="3"/>
      <c r="D40" s="3"/>
      <c r="E40" s="3"/>
      <c r="F40" s="25" t="s">
        <v>217</v>
      </c>
      <c r="G40" s="3">
        <v>716</v>
      </c>
      <c r="H40" s="3" t="s">
        <v>231</v>
      </c>
      <c r="I40" s="18"/>
      <c r="J40" s="18"/>
      <c r="K40" s="218"/>
      <c r="L40" s="279"/>
      <c r="M40" s="285">
        <f>M41</f>
        <v>75000</v>
      </c>
      <c r="N40" s="18">
        <f>N41</f>
        <v>0</v>
      </c>
      <c r="O40" s="218">
        <f t="shared" si="1"/>
        <v>0</v>
      </c>
      <c r="P40" s="274"/>
      <c r="Q40" s="285">
        <f t="shared" si="2"/>
        <v>75000</v>
      </c>
      <c r="R40" s="18">
        <f t="shared" si="2"/>
        <v>0</v>
      </c>
      <c r="S40" s="219">
        <f t="shared" si="3"/>
        <v>0</v>
      </c>
    </row>
    <row r="41" spans="2:43" s="32" customFormat="1" ht="12" x14ac:dyDescent="0.2">
      <c r="B41" s="78">
        <f t="shared" si="4"/>
        <v>33</v>
      </c>
      <c r="C41" s="4"/>
      <c r="D41" s="12"/>
      <c r="E41" s="4"/>
      <c r="F41" s="30"/>
      <c r="G41" s="4"/>
      <c r="H41" s="13" t="s">
        <v>356</v>
      </c>
      <c r="I41" s="20"/>
      <c r="J41" s="20"/>
      <c r="K41" s="218"/>
      <c r="L41" s="280"/>
      <c r="M41" s="286">
        <v>75000</v>
      </c>
      <c r="N41" s="20">
        <v>0</v>
      </c>
      <c r="O41" s="218">
        <f t="shared" si="1"/>
        <v>0</v>
      </c>
      <c r="P41" s="275"/>
      <c r="Q41" s="286">
        <f t="shared" ref="Q41:R64" si="5">I41+M41</f>
        <v>75000</v>
      </c>
      <c r="R41" s="20">
        <f t="shared" si="5"/>
        <v>0</v>
      </c>
      <c r="S41" s="219">
        <f t="shared" si="3"/>
        <v>0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2:43" ht="15" x14ac:dyDescent="0.2">
      <c r="B42" s="78">
        <f t="shared" si="4"/>
        <v>34</v>
      </c>
      <c r="C42" s="430">
        <v>3</v>
      </c>
      <c r="D42" s="505" t="s">
        <v>148</v>
      </c>
      <c r="E42" s="494"/>
      <c r="F42" s="494"/>
      <c r="G42" s="494"/>
      <c r="H42" s="495"/>
      <c r="I42" s="35">
        <f>I43</f>
        <v>111447</v>
      </c>
      <c r="J42" s="35">
        <f>J43</f>
        <v>31876</v>
      </c>
      <c r="K42" s="218">
        <f t="shared" si="0"/>
        <v>28.601936346424754</v>
      </c>
      <c r="L42" s="276"/>
      <c r="M42" s="282">
        <f>M45</f>
        <v>104697</v>
      </c>
      <c r="N42" s="35">
        <f>N45</f>
        <v>6298</v>
      </c>
      <c r="O42" s="218">
        <f t="shared" si="1"/>
        <v>6.0154541199843354</v>
      </c>
      <c r="P42" s="271"/>
      <c r="Q42" s="282">
        <f t="shared" si="5"/>
        <v>216144</v>
      </c>
      <c r="R42" s="35">
        <f t="shared" si="5"/>
        <v>38174</v>
      </c>
      <c r="S42" s="219">
        <f t="shared" si="3"/>
        <v>17.661373898882225</v>
      </c>
    </row>
    <row r="43" spans="2:43" x14ac:dyDescent="0.2">
      <c r="B43" s="78">
        <f t="shared" si="4"/>
        <v>35</v>
      </c>
      <c r="C43" s="7"/>
      <c r="D43" s="7"/>
      <c r="E43" s="7"/>
      <c r="F43" s="24" t="s">
        <v>81</v>
      </c>
      <c r="G43" s="7">
        <v>630</v>
      </c>
      <c r="H43" s="7" t="s">
        <v>133</v>
      </c>
      <c r="I43" s="22">
        <f>I44</f>
        <v>111447</v>
      </c>
      <c r="J43" s="22">
        <f>J44</f>
        <v>31876</v>
      </c>
      <c r="K43" s="218">
        <f t="shared" si="0"/>
        <v>28.601936346424754</v>
      </c>
      <c r="L43" s="278"/>
      <c r="M43" s="284"/>
      <c r="N43" s="22"/>
      <c r="O43" s="218"/>
      <c r="P43" s="273"/>
      <c r="Q43" s="284">
        <f t="shared" si="5"/>
        <v>111447</v>
      </c>
      <c r="R43" s="22">
        <f t="shared" si="5"/>
        <v>31876</v>
      </c>
      <c r="S43" s="219">
        <f t="shared" si="3"/>
        <v>28.601936346424754</v>
      </c>
    </row>
    <row r="44" spans="2:43" x14ac:dyDescent="0.2">
      <c r="B44" s="78">
        <f t="shared" si="4"/>
        <v>36</v>
      </c>
      <c r="C44" s="3"/>
      <c r="D44" s="3"/>
      <c r="E44" s="3"/>
      <c r="F44" s="25" t="s">
        <v>81</v>
      </c>
      <c r="G44" s="3">
        <v>637</v>
      </c>
      <c r="H44" s="3" t="s">
        <v>134</v>
      </c>
      <c r="I44" s="18">
        <f>90500-29950+51252-250-105</f>
        <v>111447</v>
      </c>
      <c r="J44" s="18">
        <v>31876</v>
      </c>
      <c r="K44" s="218">
        <f t="shared" si="0"/>
        <v>28.601936346424754</v>
      </c>
      <c r="L44" s="279"/>
      <c r="M44" s="285"/>
      <c r="N44" s="18"/>
      <c r="O44" s="218"/>
      <c r="P44" s="274"/>
      <c r="Q44" s="285">
        <f t="shared" si="5"/>
        <v>111447</v>
      </c>
      <c r="R44" s="18">
        <f t="shared" si="5"/>
        <v>31876</v>
      </c>
      <c r="S44" s="219">
        <f t="shared" si="3"/>
        <v>28.601936346424754</v>
      </c>
    </row>
    <row r="45" spans="2:43" x14ac:dyDescent="0.2">
      <c r="B45" s="78">
        <f t="shared" si="4"/>
        <v>37</v>
      </c>
      <c r="C45" s="7"/>
      <c r="D45" s="7"/>
      <c r="E45" s="7"/>
      <c r="F45" s="24" t="s">
        <v>81</v>
      </c>
      <c r="G45" s="7">
        <v>710</v>
      </c>
      <c r="H45" s="7" t="s">
        <v>188</v>
      </c>
      <c r="I45" s="22"/>
      <c r="J45" s="22"/>
      <c r="K45" s="218"/>
      <c r="L45" s="278"/>
      <c r="M45" s="284">
        <f>M46+M48</f>
        <v>104697</v>
      </c>
      <c r="N45" s="22">
        <f>N46+N48</f>
        <v>6298</v>
      </c>
      <c r="O45" s="218">
        <f t="shared" si="1"/>
        <v>6.0154541199843354</v>
      </c>
      <c r="P45" s="273"/>
      <c r="Q45" s="284">
        <f t="shared" si="5"/>
        <v>104697</v>
      </c>
      <c r="R45" s="22">
        <f t="shared" si="5"/>
        <v>6298</v>
      </c>
      <c r="S45" s="219">
        <f t="shared" si="3"/>
        <v>6.0154541199843354</v>
      </c>
    </row>
    <row r="46" spans="2:43" x14ac:dyDescent="0.2">
      <c r="B46" s="78">
        <f t="shared" si="4"/>
        <v>38</v>
      </c>
      <c r="C46" s="3"/>
      <c r="D46" s="3"/>
      <c r="E46" s="3"/>
      <c r="F46" s="25" t="s">
        <v>81</v>
      </c>
      <c r="G46" s="3">
        <v>716</v>
      </c>
      <c r="H46" s="3" t="s">
        <v>231</v>
      </c>
      <c r="I46" s="18"/>
      <c r="J46" s="18"/>
      <c r="K46" s="218"/>
      <c r="L46" s="279"/>
      <c r="M46" s="285">
        <f>M47</f>
        <v>50690</v>
      </c>
      <c r="N46" s="18">
        <f>N47</f>
        <v>6298</v>
      </c>
      <c r="O46" s="218">
        <f t="shared" si="1"/>
        <v>12.42454132965082</v>
      </c>
      <c r="P46" s="274"/>
      <c r="Q46" s="285">
        <f t="shared" si="5"/>
        <v>50690</v>
      </c>
      <c r="R46" s="18">
        <f t="shared" si="5"/>
        <v>6298</v>
      </c>
      <c r="S46" s="219">
        <f t="shared" si="3"/>
        <v>12.42454132965082</v>
      </c>
    </row>
    <row r="47" spans="2:43" s="32" customFormat="1" ht="12" x14ac:dyDescent="0.2">
      <c r="B47" s="78">
        <f t="shared" si="4"/>
        <v>39</v>
      </c>
      <c r="C47" s="4"/>
      <c r="D47" s="4"/>
      <c r="E47" s="4"/>
      <c r="F47" s="30"/>
      <c r="G47" s="4"/>
      <c r="H47" s="4" t="s">
        <v>357</v>
      </c>
      <c r="I47" s="20"/>
      <c r="J47" s="20"/>
      <c r="K47" s="218"/>
      <c r="L47" s="280"/>
      <c r="M47" s="286">
        <f>150000-24000+24000-19720-79590</f>
        <v>50690</v>
      </c>
      <c r="N47" s="20">
        <v>6298</v>
      </c>
      <c r="O47" s="218">
        <f t="shared" si="1"/>
        <v>12.42454132965082</v>
      </c>
      <c r="P47" s="275"/>
      <c r="Q47" s="286">
        <f t="shared" si="5"/>
        <v>50690</v>
      </c>
      <c r="R47" s="20">
        <f t="shared" si="5"/>
        <v>6298</v>
      </c>
      <c r="S47" s="219">
        <f t="shared" si="3"/>
        <v>12.42454132965082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</row>
    <row r="48" spans="2:43" x14ac:dyDescent="0.2">
      <c r="B48" s="78">
        <f t="shared" si="4"/>
        <v>40</v>
      </c>
      <c r="C48" s="3"/>
      <c r="D48" s="3"/>
      <c r="E48" s="3"/>
      <c r="F48" s="25" t="s">
        <v>81</v>
      </c>
      <c r="G48" s="3">
        <v>717</v>
      </c>
      <c r="H48" s="3" t="s">
        <v>198</v>
      </c>
      <c r="I48" s="18"/>
      <c r="J48" s="18"/>
      <c r="K48" s="218"/>
      <c r="L48" s="279"/>
      <c r="M48" s="285">
        <f>SUM(M49:M49)</f>
        <v>54007</v>
      </c>
      <c r="N48" s="18">
        <f>SUM(N49:N49)</f>
        <v>0</v>
      </c>
      <c r="O48" s="218">
        <f t="shared" si="1"/>
        <v>0</v>
      </c>
      <c r="P48" s="274"/>
      <c r="Q48" s="285">
        <f t="shared" si="5"/>
        <v>54007</v>
      </c>
      <c r="R48" s="18">
        <f t="shared" si="5"/>
        <v>0</v>
      </c>
      <c r="S48" s="219">
        <f t="shared" si="3"/>
        <v>0</v>
      </c>
    </row>
    <row r="49" spans="2:19" x14ac:dyDescent="0.2">
      <c r="B49" s="78">
        <f t="shared" si="4"/>
        <v>41</v>
      </c>
      <c r="C49" s="4"/>
      <c r="D49" s="4"/>
      <c r="E49" s="4"/>
      <c r="F49" s="26"/>
      <c r="G49" s="4"/>
      <c r="H49" s="4" t="s">
        <v>86</v>
      </c>
      <c r="I49" s="20"/>
      <c r="J49" s="20"/>
      <c r="K49" s="218"/>
      <c r="L49" s="280"/>
      <c r="M49" s="286">
        <f>248910-12850-50000+7986-140039</f>
        <v>54007</v>
      </c>
      <c r="N49" s="20"/>
      <c r="O49" s="218">
        <f t="shared" si="1"/>
        <v>0</v>
      </c>
      <c r="P49" s="275"/>
      <c r="Q49" s="286">
        <f t="shared" si="5"/>
        <v>54007</v>
      </c>
      <c r="R49" s="20">
        <f t="shared" si="5"/>
        <v>0</v>
      </c>
      <c r="S49" s="219">
        <f t="shared" si="3"/>
        <v>0</v>
      </c>
    </row>
    <row r="50" spans="2:19" ht="15" x14ac:dyDescent="0.2">
      <c r="B50" s="78">
        <f t="shared" si="4"/>
        <v>42</v>
      </c>
      <c r="C50" s="430">
        <v>4</v>
      </c>
      <c r="D50" s="505" t="s">
        <v>345</v>
      </c>
      <c r="E50" s="494"/>
      <c r="F50" s="494"/>
      <c r="G50" s="494"/>
      <c r="H50" s="495"/>
      <c r="I50" s="35">
        <v>0</v>
      </c>
      <c r="J50" s="35">
        <v>0</v>
      </c>
      <c r="K50" s="218"/>
      <c r="L50" s="276"/>
      <c r="M50" s="282">
        <v>0</v>
      </c>
      <c r="N50" s="35">
        <v>0</v>
      </c>
      <c r="O50" s="218"/>
      <c r="P50" s="271"/>
      <c r="Q50" s="282">
        <f t="shared" si="5"/>
        <v>0</v>
      </c>
      <c r="R50" s="35">
        <f t="shared" si="5"/>
        <v>0</v>
      </c>
      <c r="S50" s="219"/>
    </row>
    <row r="51" spans="2:19" ht="15" x14ac:dyDescent="0.2">
      <c r="B51" s="78">
        <f t="shared" si="4"/>
        <v>43</v>
      </c>
      <c r="C51" s="430">
        <v>5</v>
      </c>
      <c r="D51" s="505" t="s">
        <v>346</v>
      </c>
      <c r="E51" s="494"/>
      <c r="F51" s="494"/>
      <c r="G51" s="494"/>
      <c r="H51" s="495"/>
      <c r="I51" s="35">
        <v>0</v>
      </c>
      <c r="J51" s="35">
        <v>0</v>
      </c>
      <c r="K51" s="218"/>
      <c r="L51" s="276"/>
      <c r="M51" s="282">
        <v>0</v>
      </c>
      <c r="N51" s="35">
        <v>0</v>
      </c>
      <c r="O51" s="218"/>
      <c r="P51" s="271"/>
      <c r="Q51" s="282">
        <f t="shared" si="5"/>
        <v>0</v>
      </c>
      <c r="R51" s="35">
        <f t="shared" si="5"/>
        <v>0</v>
      </c>
      <c r="S51" s="219"/>
    </row>
    <row r="52" spans="2:19" ht="15" x14ac:dyDescent="0.2">
      <c r="B52" s="78">
        <f t="shared" si="4"/>
        <v>44</v>
      </c>
      <c r="C52" s="430">
        <v>6</v>
      </c>
      <c r="D52" s="505" t="s">
        <v>347</v>
      </c>
      <c r="E52" s="494"/>
      <c r="F52" s="494"/>
      <c r="G52" s="494"/>
      <c r="H52" s="495"/>
      <c r="I52" s="35">
        <v>0</v>
      </c>
      <c r="J52" s="35">
        <v>0</v>
      </c>
      <c r="K52" s="218"/>
      <c r="L52" s="276"/>
      <c r="M52" s="282">
        <v>0</v>
      </c>
      <c r="N52" s="35">
        <v>0</v>
      </c>
      <c r="O52" s="218"/>
      <c r="P52" s="271"/>
      <c r="Q52" s="282">
        <f t="shared" si="5"/>
        <v>0</v>
      </c>
      <c r="R52" s="35">
        <f t="shared" si="5"/>
        <v>0</v>
      </c>
      <c r="S52" s="219"/>
    </row>
    <row r="53" spans="2:19" ht="15" x14ac:dyDescent="0.2">
      <c r="B53" s="78">
        <f t="shared" si="4"/>
        <v>45</v>
      </c>
      <c r="C53" s="430">
        <v>7</v>
      </c>
      <c r="D53" s="505" t="s">
        <v>263</v>
      </c>
      <c r="E53" s="494"/>
      <c r="F53" s="494"/>
      <c r="G53" s="494"/>
      <c r="H53" s="495"/>
      <c r="I53" s="35">
        <f>I54+I55+I59</f>
        <v>97300</v>
      </c>
      <c r="J53" s="35">
        <f>J54+J55+J59</f>
        <v>80839</v>
      </c>
      <c r="K53" s="218">
        <f t="shared" si="0"/>
        <v>83.082219938335044</v>
      </c>
      <c r="L53" s="276"/>
      <c r="M53" s="282">
        <v>0</v>
      </c>
      <c r="N53" s="35">
        <v>0</v>
      </c>
      <c r="O53" s="218"/>
      <c r="P53" s="271"/>
      <c r="Q53" s="282">
        <f t="shared" si="5"/>
        <v>97300</v>
      </c>
      <c r="R53" s="35">
        <f t="shared" si="5"/>
        <v>80839</v>
      </c>
      <c r="S53" s="219">
        <f t="shared" si="3"/>
        <v>83.082219938335044</v>
      </c>
    </row>
    <row r="54" spans="2:19" x14ac:dyDescent="0.2">
      <c r="B54" s="78">
        <f t="shared" si="4"/>
        <v>46</v>
      </c>
      <c r="C54" s="7"/>
      <c r="D54" s="7"/>
      <c r="E54" s="7"/>
      <c r="F54" s="24" t="s">
        <v>81</v>
      </c>
      <c r="G54" s="7">
        <v>620</v>
      </c>
      <c r="H54" s="7" t="s">
        <v>136</v>
      </c>
      <c r="I54" s="22">
        <f>10200+500</f>
        <v>10700</v>
      </c>
      <c r="J54" s="22">
        <v>10128</v>
      </c>
      <c r="K54" s="218">
        <f t="shared" si="0"/>
        <v>94.654205607476641</v>
      </c>
      <c r="L54" s="278"/>
      <c r="M54" s="284"/>
      <c r="N54" s="22"/>
      <c r="O54" s="218"/>
      <c r="P54" s="273"/>
      <c r="Q54" s="284">
        <f t="shared" si="5"/>
        <v>10700</v>
      </c>
      <c r="R54" s="22">
        <f t="shared" si="5"/>
        <v>10128</v>
      </c>
      <c r="S54" s="219">
        <f t="shared" si="3"/>
        <v>94.654205607476641</v>
      </c>
    </row>
    <row r="55" spans="2:19" x14ac:dyDescent="0.2">
      <c r="B55" s="78">
        <f t="shared" si="4"/>
        <v>47</v>
      </c>
      <c r="C55" s="7"/>
      <c r="D55" s="7"/>
      <c r="E55" s="7"/>
      <c r="F55" s="24" t="s">
        <v>81</v>
      </c>
      <c r="G55" s="7">
        <v>630</v>
      </c>
      <c r="H55" s="7" t="s">
        <v>133</v>
      </c>
      <c r="I55" s="22">
        <f>SUM(I56:I58)</f>
        <v>76700</v>
      </c>
      <c r="J55" s="22">
        <f>SUM(J56:J58)</f>
        <v>60871</v>
      </c>
      <c r="K55" s="218">
        <f t="shared" si="0"/>
        <v>79.362451108213818</v>
      </c>
      <c r="L55" s="278"/>
      <c r="M55" s="284"/>
      <c r="N55" s="22"/>
      <c r="O55" s="218"/>
      <c r="P55" s="273"/>
      <c r="Q55" s="284">
        <f t="shared" si="5"/>
        <v>76700</v>
      </c>
      <c r="R55" s="22">
        <f t="shared" si="5"/>
        <v>60871</v>
      </c>
      <c r="S55" s="219">
        <f t="shared" si="3"/>
        <v>79.362451108213818</v>
      </c>
    </row>
    <row r="56" spans="2:19" x14ac:dyDescent="0.2">
      <c r="B56" s="78">
        <f t="shared" si="4"/>
        <v>48</v>
      </c>
      <c r="C56" s="3"/>
      <c r="D56" s="3"/>
      <c r="E56" s="3"/>
      <c r="F56" s="25" t="s">
        <v>81</v>
      </c>
      <c r="G56" s="3">
        <v>632</v>
      </c>
      <c r="H56" s="3" t="s">
        <v>146</v>
      </c>
      <c r="I56" s="18">
        <f>20000+10000</f>
        <v>30000</v>
      </c>
      <c r="J56" s="18">
        <v>16844</v>
      </c>
      <c r="K56" s="218">
        <f t="shared" si="0"/>
        <v>56.146666666666668</v>
      </c>
      <c r="L56" s="279"/>
      <c r="M56" s="285"/>
      <c r="N56" s="18"/>
      <c r="O56" s="218"/>
      <c r="P56" s="274"/>
      <c r="Q56" s="285">
        <f t="shared" si="5"/>
        <v>30000</v>
      </c>
      <c r="R56" s="18">
        <f t="shared" si="5"/>
        <v>16844</v>
      </c>
      <c r="S56" s="219">
        <f t="shared" si="3"/>
        <v>56.146666666666668</v>
      </c>
    </row>
    <row r="57" spans="2:19" x14ac:dyDescent="0.2">
      <c r="B57" s="78">
        <f t="shared" si="4"/>
        <v>49</v>
      </c>
      <c r="C57" s="3"/>
      <c r="D57" s="3"/>
      <c r="E57" s="3"/>
      <c r="F57" s="25" t="s">
        <v>81</v>
      </c>
      <c r="G57" s="3">
        <v>633</v>
      </c>
      <c r="H57" s="3" t="s">
        <v>137</v>
      </c>
      <c r="I57" s="18">
        <v>5500</v>
      </c>
      <c r="J57" s="18">
        <v>5163</v>
      </c>
      <c r="K57" s="218">
        <f t="shared" si="0"/>
        <v>93.872727272727275</v>
      </c>
      <c r="L57" s="279"/>
      <c r="M57" s="285"/>
      <c r="N57" s="18"/>
      <c r="O57" s="218"/>
      <c r="P57" s="274"/>
      <c r="Q57" s="285">
        <f t="shared" si="5"/>
        <v>5500</v>
      </c>
      <c r="R57" s="18">
        <f t="shared" si="5"/>
        <v>5163</v>
      </c>
      <c r="S57" s="219">
        <f t="shared" si="3"/>
        <v>93.872727272727275</v>
      </c>
    </row>
    <row r="58" spans="2:19" x14ac:dyDescent="0.2">
      <c r="B58" s="78">
        <f t="shared" si="4"/>
        <v>50</v>
      </c>
      <c r="C58" s="3"/>
      <c r="D58" s="3"/>
      <c r="E58" s="3"/>
      <c r="F58" s="25" t="s">
        <v>81</v>
      </c>
      <c r="G58" s="3">
        <v>637</v>
      </c>
      <c r="H58" s="3" t="s">
        <v>134</v>
      </c>
      <c r="I58" s="18">
        <f>40000+1200</f>
        <v>41200</v>
      </c>
      <c r="J58" s="18">
        <v>38864</v>
      </c>
      <c r="K58" s="218">
        <f t="shared" si="0"/>
        <v>94.330097087378633</v>
      </c>
      <c r="L58" s="279"/>
      <c r="M58" s="285"/>
      <c r="N58" s="18"/>
      <c r="O58" s="218"/>
      <c r="P58" s="274"/>
      <c r="Q58" s="285">
        <f t="shared" si="5"/>
        <v>41200</v>
      </c>
      <c r="R58" s="18">
        <f t="shared" si="5"/>
        <v>38864</v>
      </c>
      <c r="S58" s="219">
        <f t="shared" si="3"/>
        <v>94.330097087378633</v>
      </c>
    </row>
    <row r="59" spans="2:19" x14ac:dyDescent="0.2">
      <c r="B59" s="78">
        <f t="shared" si="4"/>
        <v>51</v>
      </c>
      <c r="C59" s="7"/>
      <c r="D59" s="7"/>
      <c r="E59" s="7"/>
      <c r="F59" s="24" t="s">
        <v>262</v>
      </c>
      <c r="G59" s="7">
        <v>630</v>
      </c>
      <c r="H59" s="7" t="s">
        <v>133</v>
      </c>
      <c r="I59" s="22">
        <f>I60</f>
        <v>9900</v>
      </c>
      <c r="J59" s="22">
        <f>J60</f>
        <v>9840</v>
      </c>
      <c r="K59" s="218">
        <f t="shared" si="0"/>
        <v>99.393939393939391</v>
      </c>
      <c r="L59" s="278"/>
      <c r="M59" s="284"/>
      <c r="N59" s="22"/>
      <c r="O59" s="218"/>
      <c r="P59" s="273"/>
      <c r="Q59" s="284">
        <f t="shared" si="5"/>
        <v>9900</v>
      </c>
      <c r="R59" s="22">
        <f t="shared" si="5"/>
        <v>9840</v>
      </c>
      <c r="S59" s="219">
        <f t="shared" si="3"/>
        <v>99.393939393939391</v>
      </c>
    </row>
    <row r="60" spans="2:19" x14ac:dyDescent="0.2">
      <c r="B60" s="78">
        <f t="shared" si="4"/>
        <v>52</v>
      </c>
      <c r="C60" s="3"/>
      <c r="D60" s="3"/>
      <c r="E60" s="3"/>
      <c r="F60" s="25" t="s">
        <v>262</v>
      </c>
      <c r="G60" s="3">
        <v>637</v>
      </c>
      <c r="H60" s="3" t="s">
        <v>134</v>
      </c>
      <c r="I60" s="18">
        <v>9900</v>
      </c>
      <c r="J60" s="18">
        <v>9840</v>
      </c>
      <c r="K60" s="218">
        <f t="shared" si="0"/>
        <v>99.393939393939391</v>
      </c>
      <c r="L60" s="279"/>
      <c r="M60" s="285"/>
      <c r="N60" s="18"/>
      <c r="O60" s="218"/>
      <c r="P60" s="274"/>
      <c r="Q60" s="285">
        <f t="shared" si="5"/>
        <v>9900</v>
      </c>
      <c r="R60" s="18">
        <f t="shared" si="5"/>
        <v>9840</v>
      </c>
      <c r="S60" s="219">
        <f t="shared" si="3"/>
        <v>99.393939393939391</v>
      </c>
    </row>
    <row r="61" spans="2:19" ht="15" x14ac:dyDescent="0.2">
      <c r="B61" s="78">
        <f t="shared" si="4"/>
        <v>53</v>
      </c>
      <c r="C61" s="430">
        <v>8</v>
      </c>
      <c r="D61" s="505" t="s">
        <v>291</v>
      </c>
      <c r="E61" s="494"/>
      <c r="F61" s="494"/>
      <c r="G61" s="494"/>
      <c r="H61" s="495"/>
      <c r="I61" s="35">
        <f>I62</f>
        <v>15500</v>
      </c>
      <c r="J61" s="35">
        <f>J62</f>
        <v>15035</v>
      </c>
      <c r="K61" s="218">
        <f t="shared" si="0"/>
        <v>97</v>
      </c>
      <c r="L61" s="276"/>
      <c r="M61" s="282">
        <v>0</v>
      </c>
      <c r="N61" s="35">
        <v>0</v>
      </c>
      <c r="O61" s="218"/>
      <c r="P61" s="271"/>
      <c r="Q61" s="282">
        <f t="shared" si="5"/>
        <v>15500</v>
      </c>
      <c r="R61" s="35">
        <f t="shared" si="5"/>
        <v>15035</v>
      </c>
      <c r="S61" s="219">
        <f t="shared" si="3"/>
        <v>97</v>
      </c>
    </row>
    <row r="62" spans="2:19" x14ac:dyDescent="0.2">
      <c r="B62" s="78">
        <f t="shared" si="4"/>
        <v>54</v>
      </c>
      <c r="C62" s="7"/>
      <c r="D62" s="7"/>
      <c r="E62" s="7"/>
      <c r="F62" s="24" t="s">
        <v>156</v>
      </c>
      <c r="G62" s="7">
        <v>640</v>
      </c>
      <c r="H62" s="7" t="s">
        <v>141</v>
      </c>
      <c r="I62" s="22">
        <f>I63</f>
        <v>15500</v>
      </c>
      <c r="J62" s="22">
        <f>J63</f>
        <v>15035</v>
      </c>
      <c r="K62" s="218">
        <f t="shared" si="0"/>
        <v>97</v>
      </c>
      <c r="L62" s="278"/>
      <c r="M62" s="284"/>
      <c r="N62" s="22"/>
      <c r="O62" s="218"/>
      <c r="P62" s="273"/>
      <c r="Q62" s="284">
        <f t="shared" si="5"/>
        <v>15500</v>
      </c>
      <c r="R62" s="22">
        <f t="shared" si="5"/>
        <v>15035</v>
      </c>
      <c r="S62" s="219">
        <f t="shared" si="3"/>
        <v>97</v>
      </c>
    </row>
    <row r="63" spans="2:19" x14ac:dyDescent="0.2">
      <c r="B63" s="78">
        <f t="shared" si="4"/>
        <v>55</v>
      </c>
      <c r="C63" s="3"/>
      <c r="D63" s="3"/>
      <c r="E63" s="3"/>
      <c r="F63" s="25" t="s">
        <v>156</v>
      </c>
      <c r="G63" s="3">
        <v>642</v>
      </c>
      <c r="H63" s="3" t="s">
        <v>697</v>
      </c>
      <c r="I63" s="18">
        <v>15500</v>
      </c>
      <c r="J63" s="18">
        <v>15035</v>
      </c>
      <c r="K63" s="218">
        <f t="shared" si="0"/>
        <v>97</v>
      </c>
      <c r="L63" s="279"/>
      <c r="M63" s="285"/>
      <c r="N63" s="18"/>
      <c r="O63" s="218"/>
      <c r="P63" s="274"/>
      <c r="Q63" s="285">
        <f t="shared" si="5"/>
        <v>15500</v>
      </c>
      <c r="R63" s="18">
        <f t="shared" si="5"/>
        <v>15035</v>
      </c>
      <c r="S63" s="219">
        <f t="shared" si="3"/>
        <v>97</v>
      </c>
    </row>
    <row r="64" spans="2:19" ht="15.75" thickBot="1" x14ac:dyDescent="0.25">
      <c r="B64" s="83">
        <f t="shared" si="4"/>
        <v>56</v>
      </c>
      <c r="C64" s="145">
        <v>9</v>
      </c>
      <c r="D64" s="554" t="s">
        <v>192</v>
      </c>
      <c r="E64" s="555"/>
      <c r="F64" s="555"/>
      <c r="G64" s="555"/>
      <c r="H64" s="556"/>
      <c r="I64" s="146">
        <v>30306</v>
      </c>
      <c r="J64" s="146">
        <v>30064</v>
      </c>
      <c r="K64" s="269">
        <f t="shared" si="0"/>
        <v>99.201478255130993</v>
      </c>
      <c r="L64" s="276"/>
      <c r="M64" s="287">
        <v>0</v>
      </c>
      <c r="N64" s="146">
        <v>0</v>
      </c>
      <c r="O64" s="269"/>
      <c r="P64" s="271"/>
      <c r="Q64" s="287">
        <f t="shared" si="5"/>
        <v>30306</v>
      </c>
      <c r="R64" s="146">
        <f t="shared" si="5"/>
        <v>30064</v>
      </c>
      <c r="S64" s="259">
        <f t="shared" si="3"/>
        <v>99.201478255130993</v>
      </c>
    </row>
    <row r="69" spans="2:19" ht="27.75" thickBot="1" x14ac:dyDescent="0.4">
      <c r="B69" s="515" t="s">
        <v>23</v>
      </c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</row>
    <row r="70" spans="2:19" ht="13.5" thickBot="1" x14ac:dyDescent="0.25">
      <c r="B70" s="531" t="s">
        <v>352</v>
      </c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3"/>
      <c r="P70" s="422"/>
      <c r="Q70" s="520" t="s">
        <v>662</v>
      </c>
      <c r="R70" s="548" t="s">
        <v>668</v>
      </c>
      <c r="S70" s="551" t="s">
        <v>663</v>
      </c>
    </row>
    <row r="71" spans="2:19" x14ac:dyDescent="0.2">
      <c r="B71" s="523"/>
      <c r="C71" s="526" t="s">
        <v>126</v>
      </c>
      <c r="D71" s="526" t="s">
        <v>127</v>
      </c>
      <c r="E71" s="526"/>
      <c r="F71" s="526" t="s">
        <v>128</v>
      </c>
      <c r="G71" s="507" t="s">
        <v>129</v>
      </c>
      <c r="H71" s="510" t="s">
        <v>130</v>
      </c>
      <c r="I71" s="497" t="s">
        <v>664</v>
      </c>
      <c r="J71" s="497" t="s">
        <v>666</v>
      </c>
      <c r="K71" s="500" t="s">
        <v>663</v>
      </c>
      <c r="L71" s="423"/>
      <c r="M71" s="512" t="s">
        <v>665</v>
      </c>
      <c r="N71" s="496" t="s">
        <v>667</v>
      </c>
      <c r="O71" s="499" t="s">
        <v>663</v>
      </c>
      <c r="P71" s="423"/>
      <c r="Q71" s="521"/>
      <c r="R71" s="549"/>
      <c r="S71" s="552"/>
    </row>
    <row r="72" spans="2:19" x14ac:dyDescent="0.2">
      <c r="B72" s="523"/>
      <c r="C72" s="526"/>
      <c r="D72" s="526"/>
      <c r="E72" s="526"/>
      <c r="F72" s="526"/>
      <c r="G72" s="507"/>
      <c r="H72" s="510"/>
      <c r="I72" s="497"/>
      <c r="J72" s="497"/>
      <c r="K72" s="500"/>
      <c r="L72" s="423"/>
      <c r="M72" s="513"/>
      <c r="N72" s="497"/>
      <c r="O72" s="500"/>
      <c r="P72" s="423"/>
      <c r="Q72" s="521"/>
      <c r="R72" s="549"/>
      <c r="S72" s="552"/>
    </row>
    <row r="73" spans="2:19" x14ac:dyDescent="0.2">
      <c r="B73" s="523"/>
      <c r="C73" s="526"/>
      <c r="D73" s="526"/>
      <c r="E73" s="526"/>
      <c r="F73" s="526"/>
      <c r="G73" s="507"/>
      <c r="H73" s="510"/>
      <c r="I73" s="497"/>
      <c r="J73" s="497"/>
      <c r="K73" s="500"/>
      <c r="L73" s="423"/>
      <c r="M73" s="513"/>
      <c r="N73" s="497"/>
      <c r="O73" s="500"/>
      <c r="P73" s="423"/>
      <c r="Q73" s="521"/>
      <c r="R73" s="549"/>
      <c r="S73" s="552"/>
    </row>
    <row r="74" spans="2:19" ht="13.5" thickBot="1" x14ac:dyDescent="0.25">
      <c r="B74" s="524"/>
      <c r="C74" s="527"/>
      <c r="D74" s="527"/>
      <c r="E74" s="527"/>
      <c r="F74" s="527"/>
      <c r="G74" s="508"/>
      <c r="H74" s="511"/>
      <c r="I74" s="498"/>
      <c r="J74" s="498"/>
      <c r="K74" s="501"/>
      <c r="L74" s="423"/>
      <c r="M74" s="514"/>
      <c r="N74" s="498"/>
      <c r="O74" s="501"/>
      <c r="P74" s="423"/>
      <c r="Q74" s="557"/>
      <c r="R74" s="550"/>
      <c r="S74" s="553"/>
    </row>
    <row r="75" spans="2:19" ht="16.5" thickTop="1" x14ac:dyDescent="0.2">
      <c r="B75" s="78">
        <v>1</v>
      </c>
      <c r="C75" s="502" t="s">
        <v>23</v>
      </c>
      <c r="D75" s="544"/>
      <c r="E75" s="544"/>
      <c r="F75" s="544"/>
      <c r="G75" s="544"/>
      <c r="H75" s="545"/>
      <c r="I75" s="34">
        <f>I86+I76</f>
        <v>131120</v>
      </c>
      <c r="J75" s="34">
        <f>J86+J76</f>
        <v>118599</v>
      </c>
      <c r="K75" s="218">
        <f t="shared" ref="K75:K91" si="6">J75/I75*100</f>
        <v>90.450732153752284</v>
      </c>
      <c r="L75" s="288"/>
      <c r="M75" s="281">
        <f>M86+M76</f>
        <v>0</v>
      </c>
      <c r="N75" s="34">
        <f>N86+N76</f>
        <v>0</v>
      </c>
      <c r="O75" s="218"/>
      <c r="P75" s="288"/>
      <c r="Q75" s="291">
        <f t="shared" ref="Q75:R91" si="7">I75+M75</f>
        <v>131120</v>
      </c>
      <c r="R75" s="292">
        <f t="shared" si="7"/>
        <v>118599</v>
      </c>
      <c r="S75" s="294">
        <f t="shared" ref="S75:S91" si="8">R75/Q75*100</f>
        <v>90.450732153752284</v>
      </c>
    </row>
    <row r="76" spans="2:19" ht="15" x14ac:dyDescent="0.2">
      <c r="B76" s="78">
        <f>B75+1</f>
        <v>2</v>
      </c>
      <c r="C76" s="430">
        <v>1</v>
      </c>
      <c r="D76" s="505" t="s">
        <v>210</v>
      </c>
      <c r="E76" s="546"/>
      <c r="F76" s="546"/>
      <c r="G76" s="546"/>
      <c r="H76" s="547"/>
      <c r="I76" s="35">
        <f>I77+I79+I83+I85+I81</f>
        <v>99600</v>
      </c>
      <c r="J76" s="35">
        <f>J77+J79+J83+J85+J81</f>
        <v>87083</v>
      </c>
      <c r="K76" s="218">
        <f t="shared" si="6"/>
        <v>87.432730923694777</v>
      </c>
      <c r="L76" s="276"/>
      <c r="M76" s="282">
        <v>0</v>
      </c>
      <c r="N76" s="35">
        <v>0</v>
      </c>
      <c r="O76" s="218"/>
      <c r="P76" s="276"/>
      <c r="Q76" s="282">
        <f t="shared" si="7"/>
        <v>99600</v>
      </c>
      <c r="R76" s="35">
        <f t="shared" si="7"/>
        <v>87083</v>
      </c>
      <c r="S76" s="219">
        <f t="shared" si="8"/>
        <v>87.432730923694777</v>
      </c>
    </row>
    <row r="77" spans="2:19" x14ac:dyDescent="0.2">
      <c r="B77" s="78">
        <f>B76+1</f>
        <v>3</v>
      </c>
      <c r="C77" s="7"/>
      <c r="D77" s="7"/>
      <c r="E77" s="7"/>
      <c r="F77" s="24" t="s">
        <v>81</v>
      </c>
      <c r="G77" s="7">
        <v>630</v>
      </c>
      <c r="H77" s="7" t="s">
        <v>133</v>
      </c>
      <c r="I77" s="22">
        <f>I78</f>
        <v>22000</v>
      </c>
      <c r="J77" s="22">
        <f>J78</f>
        <v>15977</v>
      </c>
      <c r="K77" s="218">
        <f t="shared" si="6"/>
        <v>72.622727272727275</v>
      </c>
      <c r="L77" s="278"/>
      <c r="M77" s="284"/>
      <c r="N77" s="22"/>
      <c r="O77" s="218"/>
      <c r="P77" s="278"/>
      <c r="Q77" s="284">
        <f t="shared" si="7"/>
        <v>22000</v>
      </c>
      <c r="R77" s="22">
        <f t="shared" si="7"/>
        <v>15977</v>
      </c>
      <c r="S77" s="219">
        <f t="shared" si="8"/>
        <v>72.622727272727275</v>
      </c>
    </row>
    <row r="78" spans="2:19" x14ac:dyDescent="0.2">
      <c r="B78" s="78">
        <f t="shared" ref="B78:B91" si="9">B77+1</f>
        <v>4</v>
      </c>
      <c r="C78" s="3"/>
      <c r="D78" s="3"/>
      <c r="E78" s="3"/>
      <c r="F78" s="25" t="s">
        <v>81</v>
      </c>
      <c r="G78" s="3">
        <v>637</v>
      </c>
      <c r="H78" s="3" t="s">
        <v>134</v>
      </c>
      <c r="I78" s="18">
        <v>22000</v>
      </c>
      <c r="J78" s="18">
        <v>15977</v>
      </c>
      <c r="K78" s="218">
        <f t="shared" si="6"/>
        <v>72.622727272727275</v>
      </c>
      <c r="L78" s="279"/>
      <c r="M78" s="285"/>
      <c r="N78" s="18"/>
      <c r="O78" s="218"/>
      <c r="P78" s="279"/>
      <c r="Q78" s="285">
        <f t="shared" si="7"/>
        <v>22000</v>
      </c>
      <c r="R78" s="18">
        <f t="shared" si="7"/>
        <v>15977</v>
      </c>
      <c r="S78" s="219">
        <f t="shared" si="8"/>
        <v>72.622727272727275</v>
      </c>
    </row>
    <row r="79" spans="2:19" x14ac:dyDescent="0.2">
      <c r="B79" s="78">
        <f t="shared" si="9"/>
        <v>5</v>
      </c>
      <c r="C79" s="7"/>
      <c r="D79" s="7"/>
      <c r="E79" s="7"/>
      <c r="F79" s="24" t="s">
        <v>259</v>
      </c>
      <c r="G79" s="7">
        <v>630</v>
      </c>
      <c r="H79" s="7" t="s">
        <v>133</v>
      </c>
      <c r="I79" s="22">
        <f>I80</f>
        <v>10000</v>
      </c>
      <c r="J79" s="22">
        <f>J80</f>
        <v>9395</v>
      </c>
      <c r="K79" s="218">
        <f t="shared" si="6"/>
        <v>93.95</v>
      </c>
      <c r="L79" s="278"/>
      <c r="M79" s="284"/>
      <c r="N79" s="22"/>
      <c r="O79" s="218"/>
      <c r="P79" s="278"/>
      <c r="Q79" s="284">
        <f t="shared" si="7"/>
        <v>10000</v>
      </c>
      <c r="R79" s="22">
        <f t="shared" si="7"/>
        <v>9395</v>
      </c>
      <c r="S79" s="219">
        <f t="shared" si="8"/>
        <v>93.95</v>
      </c>
    </row>
    <row r="80" spans="2:19" x14ac:dyDescent="0.2">
      <c r="B80" s="78">
        <f t="shared" si="9"/>
        <v>6</v>
      </c>
      <c r="C80" s="3"/>
      <c r="D80" s="3"/>
      <c r="E80" s="3"/>
      <c r="F80" s="25" t="s">
        <v>259</v>
      </c>
      <c r="G80" s="3">
        <v>637</v>
      </c>
      <c r="H80" s="3" t="s">
        <v>134</v>
      </c>
      <c r="I80" s="18">
        <f>8500+1500</f>
        <v>10000</v>
      </c>
      <c r="J80" s="18">
        <v>9395</v>
      </c>
      <c r="K80" s="218">
        <f t="shared" si="6"/>
        <v>93.95</v>
      </c>
      <c r="L80" s="279"/>
      <c r="M80" s="285"/>
      <c r="N80" s="18"/>
      <c r="O80" s="218"/>
      <c r="P80" s="279"/>
      <c r="Q80" s="285">
        <f t="shared" si="7"/>
        <v>10000</v>
      </c>
      <c r="R80" s="18">
        <f t="shared" si="7"/>
        <v>9395</v>
      </c>
      <c r="S80" s="219">
        <f t="shared" si="8"/>
        <v>93.95</v>
      </c>
    </row>
    <row r="81" spans="2:19" x14ac:dyDescent="0.2">
      <c r="B81" s="78">
        <f t="shared" si="9"/>
        <v>7</v>
      </c>
      <c r="C81" s="7"/>
      <c r="D81" s="7"/>
      <c r="E81" s="7"/>
      <c r="F81" s="24" t="s">
        <v>432</v>
      </c>
      <c r="G81" s="7">
        <v>630</v>
      </c>
      <c r="H81" s="7" t="s">
        <v>133</v>
      </c>
      <c r="I81" s="22">
        <f>I82</f>
        <v>19000</v>
      </c>
      <c r="J81" s="22">
        <f>J82</f>
        <v>18410</v>
      </c>
      <c r="K81" s="218">
        <f t="shared" si="6"/>
        <v>96.89473684210526</v>
      </c>
      <c r="L81" s="278"/>
      <c r="M81" s="284"/>
      <c r="N81" s="22"/>
      <c r="O81" s="218"/>
      <c r="P81" s="278"/>
      <c r="Q81" s="284">
        <f t="shared" si="7"/>
        <v>19000</v>
      </c>
      <c r="R81" s="22">
        <f t="shared" si="7"/>
        <v>18410</v>
      </c>
      <c r="S81" s="219">
        <f t="shared" si="8"/>
        <v>96.89473684210526</v>
      </c>
    </row>
    <row r="82" spans="2:19" x14ac:dyDescent="0.2">
      <c r="B82" s="78">
        <f t="shared" si="9"/>
        <v>8</v>
      </c>
      <c r="C82" s="3"/>
      <c r="D82" s="3"/>
      <c r="E82" s="3"/>
      <c r="F82" s="25" t="s">
        <v>432</v>
      </c>
      <c r="G82" s="3">
        <v>637</v>
      </c>
      <c r="H82" s="3" t="s">
        <v>433</v>
      </c>
      <c r="I82" s="18">
        <f>6000+13000</f>
        <v>19000</v>
      </c>
      <c r="J82" s="18">
        <v>18410</v>
      </c>
      <c r="K82" s="218">
        <f t="shared" si="6"/>
        <v>96.89473684210526</v>
      </c>
      <c r="L82" s="279"/>
      <c r="M82" s="285"/>
      <c r="N82" s="18"/>
      <c r="O82" s="218"/>
      <c r="P82" s="279"/>
      <c r="Q82" s="285">
        <f t="shared" si="7"/>
        <v>19000</v>
      </c>
      <c r="R82" s="18">
        <f t="shared" si="7"/>
        <v>18410</v>
      </c>
      <c r="S82" s="219">
        <f t="shared" si="8"/>
        <v>96.89473684210526</v>
      </c>
    </row>
    <row r="83" spans="2:19" x14ac:dyDescent="0.2">
      <c r="B83" s="78">
        <f t="shared" si="9"/>
        <v>9</v>
      </c>
      <c r="C83" s="7"/>
      <c r="D83" s="7"/>
      <c r="E83" s="7"/>
      <c r="F83" s="24" t="s">
        <v>233</v>
      </c>
      <c r="G83" s="7">
        <v>630</v>
      </c>
      <c r="H83" s="7" t="s">
        <v>133</v>
      </c>
      <c r="I83" s="22">
        <f>I84</f>
        <v>23000</v>
      </c>
      <c r="J83" s="22">
        <f>J84</f>
        <v>17238</v>
      </c>
      <c r="K83" s="218">
        <f t="shared" si="6"/>
        <v>74.947826086956525</v>
      </c>
      <c r="L83" s="278"/>
      <c r="M83" s="284"/>
      <c r="N83" s="22"/>
      <c r="O83" s="218"/>
      <c r="P83" s="278"/>
      <c r="Q83" s="284">
        <f t="shared" si="7"/>
        <v>23000</v>
      </c>
      <c r="R83" s="22">
        <f t="shared" si="7"/>
        <v>17238</v>
      </c>
      <c r="S83" s="219">
        <f t="shared" si="8"/>
        <v>74.947826086956525</v>
      </c>
    </row>
    <row r="84" spans="2:19" x14ac:dyDescent="0.2">
      <c r="B84" s="78">
        <f t="shared" si="9"/>
        <v>10</v>
      </c>
      <c r="C84" s="3"/>
      <c r="D84" s="3"/>
      <c r="E84" s="3"/>
      <c r="F84" s="25" t="s">
        <v>233</v>
      </c>
      <c r="G84" s="3">
        <v>637</v>
      </c>
      <c r="H84" s="3" t="s">
        <v>134</v>
      </c>
      <c r="I84" s="18">
        <f>25000-2000</f>
        <v>23000</v>
      </c>
      <c r="J84" s="18">
        <v>17238</v>
      </c>
      <c r="K84" s="218">
        <f t="shared" si="6"/>
        <v>74.947826086956525</v>
      </c>
      <c r="L84" s="279"/>
      <c r="M84" s="285"/>
      <c r="N84" s="18"/>
      <c r="O84" s="218"/>
      <c r="P84" s="279"/>
      <c r="Q84" s="285">
        <f t="shared" si="7"/>
        <v>23000</v>
      </c>
      <c r="R84" s="18">
        <f t="shared" si="7"/>
        <v>17238</v>
      </c>
      <c r="S84" s="219">
        <f t="shared" si="8"/>
        <v>74.947826086956525</v>
      </c>
    </row>
    <row r="85" spans="2:19" x14ac:dyDescent="0.2">
      <c r="B85" s="78">
        <f t="shared" si="9"/>
        <v>11</v>
      </c>
      <c r="C85" s="3"/>
      <c r="D85" s="116"/>
      <c r="E85" s="3"/>
      <c r="F85" s="29" t="s">
        <v>82</v>
      </c>
      <c r="G85" s="2"/>
      <c r="H85" s="117" t="s">
        <v>426</v>
      </c>
      <c r="I85" s="17">
        <v>25600</v>
      </c>
      <c r="J85" s="17">
        <f>26027+36</f>
        <v>26063</v>
      </c>
      <c r="K85" s="218">
        <f t="shared" si="6"/>
        <v>101.80859375</v>
      </c>
      <c r="L85" s="278"/>
      <c r="M85" s="289"/>
      <c r="N85" s="17"/>
      <c r="O85" s="218"/>
      <c r="P85" s="278"/>
      <c r="Q85" s="289">
        <f t="shared" si="7"/>
        <v>25600</v>
      </c>
      <c r="R85" s="17">
        <f t="shared" si="7"/>
        <v>26063</v>
      </c>
      <c r="S85" s="219">
        <f t="shared" si="8"/>
        <v>101.80859375</v>
      </c>
    </row>
    <row r="86" spans="2:19" ht="15" x14ac:dyDescent="0.2">
      <c r="B86" s="78">
        <f t="shared" si="9"/>
        <v>12</v>
      </c>
      <c r="C86" s="430">
        <v>2</v>
      </c>
      <c r="D86" s="505" t="s">
        <v>260</v>
      </c>
      <c r="E86" s="546"/>
      <c r="F86" s="546"/>
      <c r="G86" s="546"/>
      <c r="H86" s="547"/>
      <c r="I86" s="35">
        <f>I87+I89</f>
        <v>31520</v>
      </c>
      <c r="J86" s="35">
        <f>J87+J89</f>
        <v>31516</v>
      </c>
      <c r="K86" s="218">
        <f t="shared" si="6"/>
        <v>99.987309644670049</v>
      </c>
      <c r="L86" s="276"/>
      <c r="M86" s="282">
        <v>0</v>
      </c>
      <c r="N86" s="35">
        <v>0</v>
      </c>
      <c r="O86" s="218"/>
      <c r="P86" s="276"/>
      <c r="Q86" s="282">
        <f t="shared" si="7"/>
        <v>31520</v>
      </c>
      <c r="R86" s="35">
        <f t="shared" si="7"/>
        <v>31516</v>
      </c>
      <c r="S86" s="219">
        <f t="shared" si="8"/>
        <v>99.987309644670049</v>
      </c>
    </row>
    <row r="87" spans="2:19" x14ac:dyDescent="0.2">
      <c r="B87" s="78">
        <f t="shared" si="9"/>
        <v>13</v>
      </c>
      <c r="C87" s="7"/>
      <c r="D87" s="7"/>
      <c r="E87" s="7"/>
      <c r="F87" s="24" t="s">
        <v>259</v>
      </c>
      <c r="G87" s="7">
        <v>630</v>
      </c>
      <c r="H87" s="7" t="s">
        <v>133</v>
      </c>
      <c r="I87" s="22">
        <f>I88</f>
        <v>8000</v>
      </c>
      <c r="J87" s="22">
        <f>J88</f>
        <v>7996</v>
      </c>
      <c r="K87" s="218">
        <f t="shared" si="6"/>
        <v>99.95</v>
      </c>
      <c r="L87" s="278"/>
      <c r="M87" s="284"/>
      <c r="N87" s="22"/>
      <c r="O87" s="218"/>
      <c r="P87" s="278"/>
      <c r="Q87" s="284">
        <f t="shared" si="7"/>
        <v>8000</v>
      </c>
      <c r="R87" s="22">
        <f t="shared" si="7"/>
        <v>7996</v>
      </c>
      <c r="S87" s="219">
        <f t="shared" si="8"/>
        <v>99.95</v>
      </c>
    </row>
    <row r="88" spans="2:19" x14ac:dyDescent="0.2">
      <c r="B88" s="78">
        <f t="shared" si="9"/>
        <v>14</v>
      </c>
      <c r="C88" s="3"/>
      <c r="D88" s="3"/>
      <c r="E88" s="3"/>
      <c r="F88" s="25" t="s">
        <v>259</v>
      </c>
      <c r="G88" s="3">
        <v>637</v>
      </c>
      <c r="H88" s="3" t="s">
        <v>134</v>
      </c>
      <c r="I88" s="18">
        <v>8000</v>
      </c>
      <c r="J88" s="18">
        <v>7996</v>
      </c>
      <c r="K88" s="218">
        <f t="shared" si="6"/>
        <v>99.95</v>
      </c>
      <c r="L88" s="279"/>
      <c r="M88" s="285"/>
      <c r="N88" s="18"/>
      <c r="O88" s="218"/>
      <c r="P88" s="279"/>
      <c r="Q88" s="285">
        <f t="shared" si="7"/>
        <v>8000</v>
      </c>
      <c r="R88" s="18">
        <f t="shared" si="7"/>
        <v>7996</v>
      </c>
      <c r="S88" s="219">
        <f t="shared" si="8"/>
        <v>99.95</v>
      </c>
    </row>
    <row r="89" spans="2:19" x14ac:dyDescent="0.2">
      <c r="B89" s="78">
        <f t="shared" si="9"/>
        <v>15</v>
      </c>
      <c r="C89" s="7"/>
      <c r="D89" s="7"/>
      <c r="E89" s="7"/>
      <c r="F89" s="24" t="s">
        <v>259</v>
      </c>
      <c r="G89" s="7">
        <v>640</v>
      </c>
      <c r="H89" s="7" t="s">
        <v>141</v>
      </c>
      <c r="I89" s="22">
        <f>I90</f>
        <v>23520</v>
      </c>
      <c r="J89" s="22">
        <f>J90</f>
        <v>23520</v>
      </c>
      <c r="K89" s="218">
        <f t="shared" si="6"/>
        <v>100</v>
      </c>
      <c r="L89" s="278"/>
      <c r="M89" s="284"/>
      <c r="N89" s="22"/>
      <c r="O89" s="218"/>
      <c r="P89" s="278"/>
      <c r="Q89" s="284">
        <f t="shared" si="7"/>
        <v>23520</v>
      </c>
      <c r="R89" s="22">
        <f t="shared" si="7"/>
        <v>23520</v>
      </c>
      <c r="S89" s="219">
        <f t="shared" si="8"/>
        <v>100</v>
      </c>
    </row>
    <row r="90" spans="2:19" x14ac:dyDescent="0.2">
      <c r="B90" s="78">
        <f t="shared" si="9"/>
        <v>16</v>
      </c>
      <c r="C90" s="3"/>
      <c r="D90" s="3"/>
      <c r="E90" s="3"/>
      <c r="F90" s="25" t="s">
        <v>259</v>
      </c>
      <c r="G90" s="3">
        <v>642</v>
      </c>
      <c r="H90" s="3" t="s">
        <v>142</v>
      </c>
      <c r="I90" s="18">
        <f>I91</f>
        <v>23520</v>
      </c>
      <c r="J90" s="18">
        <f>J91</f>
        <v>23520</v>
      </c>
      <c r="K90" s="218">
        <f t="shared" si="6"/>
        <v>100</v>
      </c>
      <c r="L90" s="279"/>
      <c r="M90" s="285"/>
      <c r="N90" s="18"/>
      <c r="O90" s="218"/>
      <c r="P90" s="279"/>
      <c r="Q90" s="285">
        <f t="shared" si="7"/>
        <v>23520</v>
      </c>
      <c r="R90" s="18">
        <f t="shared" si="7"/>
        <v>23520</v>
      </c>
      <c r="S90" s="219">
        <f t="shared" si="8"/>
        <v>100</v>
      </c>
    </row>
    <row r="91" spans="2:19" ht="13.5" thickBot="1" x14ac:dyDescent="0.25">
      <c r="B91" s="83">
        <f t="shared" si="9"/>
        <v>17</v>
      </c>
      <c r="C91" s="89"/>
      <c r="D91" s="89"/>
      <c r="E91" s="89"/>
      <c r="F91" s="90"/>
      <c r="G91" s="89"/>
      <c r="H91" s="89" t="s">
        <v>316</v>
      </c>
      <c r="I91" s="92">
        <v>23520</v>
      </c>
      <c r="J91" s="92">
        <v>23520</v>
      </c>
      <c r="K91" s="269">
        <f t="shared" si="6"/>
        <v>100</v>
      </c>
      <c r="L91" s="280"/>
      <c r="M91" s="290"/>
      <c r="N91" s="92"/>
      <c r="O91" s="269"/>
      <c r="P91" s="280"/>
      <c r="Q91" s="290">
        <f t="shared" si="7"/>
        <v>23520</v>
      </c>
      <c r="R91" s="92">
        <f t="shared" si="7"/>
        <v>23520</v>
      </c>
      <c r="S91" s="259">
        <f t="shared" si="8"/>
        <v>100</v>
      </c>
    </row>
    <row r="104" spans="2:19" ht="27.75" thickBot="1" x14ac:dyDescent="0.4">
      <c r="B104" s="515" t="s">
        <v>24</v>
      </c>
      <c r="C104" s="516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</row>
    <row r="105" spans="2:19" ht="13.5" thickBot="1" x14ac:dyDescent="0.25">
      <c r="B105" s="531" t="s">
        <v>352</v>
      </c>
      <c r="C105" s="532"/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  <c r="O105" s="533"/>
      <c r="P105" s="422"/>
      <c r="Q105" s="534" t="s">
        <v>662</v>
      </c>
      <c r="R105" s="496" t="s">
        <v>668</v>
      </c>
      <c r="S105" s="536" t="s">
        <v>663</v>
      </c>
    </row>
    <row r="106" spans="2:19" x14ac:dyDescent="0.2">
      <c r="B106" s="522"/>
      <c r="C106" s="525" t="s">
        <v>126</v>
      </c>
      <c r="D106" s="525" t="s">
        <v>127</v>
      </c>
      <c r="E106" s="525"/>
      <c r="F106" s="525" t="s">
        <v>128</v>
      </c>
      <c r="G106" s="506" t="s">
        <v>129</v>
      </c>
      <c r="H106" s="509" t="s">
        <v>130</v>
      </c>
      <c r="I106" s="496" t="s">
        <v>664</v>
      </c>
      <c r="J106" s="496" t="s">
        <v>666</v>
      </c>
      <c r="K106" s="499" t="s">
        <v>663</v>
      </c>
      <c r="L106" s="423"/>
      <c r="M106" s="512" t="s">
        <v>665</v>
      </c>
      <c r="N106" s="496" t="s">
        <v>667</v>
      </c>
      <c r="O106" s="499" t="s">
        <v>663</v>
      </c>
      <c r="P106" s="423"/>
      <c r="Q106" s="535"/>
      <c r="R106" s="497"/>
      <c r="S106" s="537"/>
    </row>
    <row r="107" spans="2:19" x14ac:dyDescent="0.2">
      <c r="B107" s="523"/>
      <c r="C107" s="526"/>
      <c r="D107" s="526"/>
      <c r="E107" s="526"/>
      <c r="F107" s="526"/>
      <c r="G107" s="507"/>
      <c r="H107" s="510"/>
      <c r="I107" s="497"/>
      <c r="J107" s="497"/>
      <c r="K107" s="500"/>
      <c r="L107" s="423"/>
      <c r="M107" s="513"/>
      <c r="N107" s="497"/>
      <c r="O107" s="500"/>
      <c r="P107" s="423"/>
      <c r="Q107" s="535"/>
      <c r="R107" s="497"/>
      <c r="S107" s="537"/>
    </row>
    <row r="108" spans="2:19" x14ac:dyDescent="0.2">
      <c r="B108" s="523"/>
      <c r="C108" s="526"/>
      <c r="D108" s="526"/>
      <c r="E108" s="526"/>
      <c r="F108" s="526"/>
      <c r="G108" s="507"/>
      <c r="H108" s="510"/>
      <c r="I108" s="497"/>
      <c r="J108" s="497"/>
      <c r="K108" s="500"/>
      <c r="L108" s="423"/>
      <c r="M108" s="513"/>
      <c r="N108" s="497"/>
      <c r="O108" s="500"/>
      <c r="P108" s="423"/>
      <c r="Q108" s="535"/>
      <c r="R108" s="497"/>
      <c r="S108" s="537"/>
    </row>
    <row r="109" spans="2:19" ht="13.5" thickBot="1" x14ac:dyDescent="0.25">
      <c r="B109" s="524"/>
      <c r="C109" s="527"/>
      <c r="D109" s="527"/>
      <c r="E109" s="527"/>
      <c r="F109" s="527"/>
      <c r="G109" s="508"/>
      <c r="H109" s="511"/>
      <c r="I109" s="498"/>
      <c r="J109" s="498"/>
      <c r="K109" s="501"/>
      <c r="L109" s="423"/>
      <c r="M109" s="514"/>
      <c r="N109" s="498"/>
      <c r="O109" s="501"/>
      <c r="P109" s="423"/>
      <c r="Q109" s="535"/>
      <c r="R109" s="498"/>
      <c r="S109" s="538"/>
    </row>
    <row r="110" spans="2:19" ht="16.5" thickTop="1" x14ac:dyDescent="0.2">
      <c r="B110" s="78">
        <v>1</v>
      </c>
      <c r="C110" s="502" t="s">
        <v>24</v>
      </c>
      <c r="D110" s="503"/>
      <c r="E110" s="503"/>
      <c r="F110" s="503"/>
      <c r="G110" s="503"/>
      <c r="H110" s="504"/>
      <c r="I110" s="34">
        <f>I195+I182+I177+I158+I134+I130+I114+I111</f>
        <v>4413968</v>
      </c>
      <c r="J110" s="34">
        <f>J195+J182+J177+J158+J134+J130+J114+J111</f>
        <v>4132705</v>
      </c>
      <c r="K110" s="218">
        <f t="shared" ref="K110:K170" si="10">J110/I110*100</f>
        <v>93.627887651201831</v>
      </c>
      <c r="L110" s="288"/>
      <c r="M110" s="281">
        <f>M111+M114+M130+M134+M158+M177+M182+M195</f>
        <v>851453</v>
      </c>
      <c r="N110" s="34">
        <f>N111+N114+N130+N134+N158+N177+N182+N195</f>
        <v>765327</v>
      </c>
      <c r="O110" s="218">
        <f t="shared" ref="O110:O173" si="11">N110/M110*100</f>
        <v>89.884820418743018</v>
      </c>
      <c r="P110" s="288"/>
      <c r="Q110" s="302">
        <f t="shared" ref="Q110:R142" si="12">I110+M110</f>
        <v>5265421</v>
      </c>
      <c r="R110" s="34">
        <f t="shared" si="12"/>
        <v>4898032</v>
      </c>
      <c r="S110" s="312">
        <f t="shared" ref="S110:S173" si="13">R110/Q110*100</f>
        <v>93.022609208266545</v>
      </c>
    </row>
    <row r="111" spans="2:19" ht="15" x14ac:dyDescent="0.2">
      <c r="B111" s="78">
        <f>B110+1</f>
        <v>2</v>
      </c>
      <c r="C111" s="430">
        <v>1</v>
      </c>
      <c r="D111" s="505" t="s">
        <v>155</v>
      </c>
      <c r="E111" s="494"/>
      <c r="F111" s="494"/>
      <c r="G111" s="494"/>
      <c r="H111" s="495"/>
      <c r="I111" s="35">
        <f>I112</f>
        <v>176960</v>
      </c>
      <c r="J111" s="35">
        <f>J112</f>
        <v>172006</v>
      </c>
      <c r="K111" s="218">
        <f t="shared" si="10"/>
        <v>97.200497287522609</v>
      </c>
      <c r="L111" s="276"/>
      <c r="M111" s="282">
        <f>M112</f>
        <v>0</v>
      </c>
      <c r="N111" s="35">
        <f>N112</f>
        <v>0</v>
      </c>
      <c r="O111" s="218"/>
      <c r="P111" s="276"/>
      <c r="Q111" s="303">
        <f t="shared" si="12"/>
        <v>176960</v>
      </c>
      <c r="R111" s="35">
        <f t="shared" si="12"/>
        <v>172006</v>
      </c>
      <c r="S111" s="312">
        <f t="shared" si="13"/>
        <v>97.200497287522609</v>
      </c>
    </row>
    <row r="112" spans="2:19" x14ac:dyDescent="0.2">
      <c r="B112" s="78">
        <f>B111+1</f>
        <v>3</v>
      </c>
      <c r="C112" s="7"/>
      <c r="D112" s="7"/>
      <c r="E112" s="7"/>
      <c r="F112" s="24" t="s">
        <v>81</v>
      </c>
      <c r="G112" s="7">
        <v>630</v>
      </c>
      <c r="H112" s="7" t="s">
        <v>133</v>
      </c>
      <c r="I112" s="22">
        <f>I113</f>
        <v>176960</v>
      </c>
      <c r="J112" s="22">
        <f>J113</f>
        <v>172006</v>
      </c>
      <c r="K112" s="218">
        <f t="shared" si="10"/>
        <v>97.200497287522609</v>
      </c>
      <c r="L112" s="278"/>
      <c r="M112" s="284"/>
      <c r="N112" s="22"/>
      <c r="O112" s="218"/>
      <c r="P112" s="278"/>
      <c r="Q112" s="304">
        <f t="shared" si="12"/>
        <v>176960</v>
      </c>
      <c r="R112" s="22">
        <f t="shared" si="12"/>
        <v>172006</v>
      </c>
      <c r="S112" s="312">
        <f t="shared" si="13"/>
        <v>97.200497287522609</v>
      </c>
    </row>
    <row r="113" spans="2:19" x14ac:dyDescent="0.2">
      <c r="B113" s="78">
        <f t="shared" ref="B113:B176" si="14">B112+1</f>
        <v>4</v>
      </c>
      <c r="C113" s="3"/>
      <c r="D113" s="3"/>
      <c r="E113" s="3"/>
      <c r="F113" s="25" t="s">
        <v>81</v>
      </c>
      <c r="G113" s="3">
        <v>637</v>
      </c>
      <c r="H113" s="3" t="s">
        <v>134</v>
      </c>
      <c r="I113" s="18">
        <f>131400-1000-8440+55000</f>
        <v>176960</v>
      </c>
      <c r="J113" s="18">
        <v>172006</v>
      </c>
      <c r="K113" s="218">
        <f t="shared" si="10"/>
        <v>97.200497287522609</v>
      </c>
      <c r="L113" s="279"/>
      <c r="M113" s="285"/>
      <c r="N113" s="18"/>
      <c r="O113" s="218"/>
      <c r="P113" s="279"/>
      <c r="Q113" s="305">
        <f t="shared" si="12"/>
        <v>176960</v>
      </c>
      <c r="R113" s="18">
        <f t="shared" si="12"/>
        <v>172006</v>
      </c>
      <c r="S113" s="312">
        <f t="shared" si="13"/>
        <v>97.200497287522609</v>
      </c>
    </row>
    <row r="114" spans="2:19" ht="15" x14ac:dyDescent="0.2">
      <c r="B114" s="78">
        <f t="shared" si="14"/>
        <v>5</v>
      </c>
      <c r="C114" s="430">
        <v>2</v>
      </c>
      <c r="D114" s="505" t="s">
        <v>154</v>
      </c>
      <c r="E114" s="494"/>
      <c r="F114" s="494"/>
      <c r="G114" s="494"/>
      <c r="H114" s="495"/>
      <c r="I114" s="35">
        <f>I115+I118+I124</f>
        <v>87250</v>
      </c>
      <c r="J114" s="35">
        <f>J115+J118+J124</f>
        <v>78893</v>
      </c>
      <c r="K114" s="218">
        <f t="shared" si="10"/>
        <v>90.421776504297995</v>
      </c>
      <c r="L114" s="276"/>
      <c r="M114" s="282">
        <f>M115+M118+M124</f>
        <v>449474</v>
      </c>
      <c r="N114" s="35">
        <f>N115+N118+N124</f>
        <v>400502</v>
      </c>
      <c r="O114" s="218">
        <f t="shared" si="11"/>
        <v>89.104597818783731</v>
      </c>
      <c r="P114" s="276"/>
      <c r="Q114" s="303">
        <f t="shared" si="12"/>
        <v>536724</v>
      </c>
      <c r="R114" s="35">
        <f t="shared" si="12"/>
        <v>479395</v>
      </c>
      <c r="S114" s="312">
        <f t="shared" si="13"/>
        <v>89.318718745575012</v>
      </c>
    </row>
    <row r="115" spans="2:19" ht="15" x14ac:dyDescent="0.25">
      <c r="B115" s="78">
        <f t="shared" si="14"/>
        <v>6</v>
      </c>
      <c r="C115" s="429"/>
      <c r="D115" s="429">
        <v>1</v>
      </c>
      <c r="E115" s="493" t="s">
        <v>160</v>
      </c>
      <c r="F115" s="494"/>
      <c r="G115" s="494"/>
      <c r="H115" s="495"/>
      <c r="I115" s="36">
        <f>I116</f>
        <v>2500</v>
      </c>
      <c r="J115" s="36">
        <f>J116</f>
        <v>1927</v>
      </c>
      <c r="K115" s="218">
        <f t="shared" si="10"/>
        <v>77.08</v>
      </c>
      <c r="L115" s="277"/>
      <c r="M115" s="283">
        <v>0</v>
      </c>
      <c r="N115" s="36"/>
      <c r="O115" s="218"/>
      <c r="P115" s="277"/>
      <c r="Q115" s="306">
        <f t="shared" si="12"/>
        <v>2500</v>
      </c>
      <c r="R115" s="36">
        <f t="shared" si="12"/>
        <v>1927</v>
      </c>
      <c r="S115" s="312">
        <f t="shared" si="13"/>
        <v>77.08</v>
      </c>
    </row>
    <row r="116" spans="2:19" x14ac:dyDescent="0.2">
      <c r="B116" s="78">
        <f t="shared" si="14"/>
        <v>7</v>
      </c>
      <c r="C116" s="7"/>
      <c r="D116" s="7"/>
      <c r="E116" s="7"/>
      <c r="F116" s="24" t="s">
        <v>81</v>
      </c>
      <c r="G116" s="7">
        <v>630</v>
      </c>
      <c r="H116" s="7" t="s">
        <v>133</v>
      </c>
      <c r="I116" s="22">
        <f>I117</f>
        <v>2500</v>
      </c>
      <c r="J116" s="22">
        <f>J117</f>
        <v>1927</v>
      </c>
      <c r="K116" s="218">
        <f t="shared" si="10"/>
        <v>77.08</v>
      </c>
      <c r="L116" s="278"/>
      <c r="M116" s="284"/>
      <c r="N116" s="22"/>
      <c r="O116" s="218"/>
      <c r="P116" s="278"/>
      <c r="Q116" s="304">
        <f t="shared" si="12"/>
        <v>2500</v>
      </c>
      <c r="R116" s="22">
        <f t="shared" si="12"/>
        <v>1927</v>
      </c>
      <c r="S116" s="312">
        <f t="shared" si="13"/>
        <v>77.08</v>
      </c>
    </row>
    <row r="117" spans="2:19" x14ac:dyDescent="0.2">
      <c r="B117" s="78">
        <f t="shared" si="14"/>
        <v>8</v>
      </c>
      <c r="C117" s="3"/>
      <c r="D117" s="3"/>
      <c r="E117" s="3"/>
      <c r="F117" s="25" t="s">
        <v>81</v>
      </c>
      <c r="G117" s="3">
        <v>637</v>
      </c>
      <c r="H117" s="3" t="s">
        <v>134</v>
      </c>
      <c r="I117" s="18">
        <v>2500</v>
      </c>
      <c r="J117" s="18">
        <v>1927</v>
      </c>
      <c r="K117" s="218">
        <f t="shared" si="10"/>
        <v>77.08</v>
      </c>
      <c r="L117" s="279"/>
      <c r="M117" s="285"/>
      <c r="N117" s="18"/>
      <c r="O117" s="218"/>
      <c r="P117" s="279"/>
      <c r="Q117" s="305">
        <f t="shared" si="12"/>
        <v>2500</v>
      </c>
      <c r="R117" s="18">
        <f t="shared" si="12"/>
        <v>1927</v>
      </c>
      <c r="S117" s="312">
        <f t="shared" si="13"/>
        <v>77.08</v>
      </c>
    </row>
    <row r="118" spans="2:19" ht="15" x14ac:dyDescent="0.25">
      <c r="B118" s="78">
        <f t="shared" si="14"/>
        <v>9</v>
      </c>
      <c r="C118" s="429"/>
      <c r="D118" s="429">
        <v>2</v>
      </c>
      <c r="E118" s="493" t="s">
        <v>153</v>
      </c>
      <c r="F118" s="494"/>
      <c r="G118" s="494"/>
      <c r="H118" s="495"/>
      <c r="I118" s="36">
        <f>I119</f>
        <v>19750</v>
      </c>
      <c r="J118" s="36">
        <f>J119</f>
        <v>18432</v>
      </c>
      <c r="K118" s="218">
        <f t="shared" si="10"/>
        <v>93.326582278481013</v>
      </c>
      <c r="L118" s="277"/>
      <c r="M118" s="283">
        <f>M122</f>
        <v>208170</v>
      </c>
      <c r="N118" s="36">
        <f>N122</f>
        <v>207982</v>
      </c>
      <c r="O118" s="218">
        <f t="shared" si="11"/>
        <v>99.909689196329921</v>
      </c>
      <c r="P118" s="277"/>
      <c r="Q118" s="306">
        <f t="shared" si="12"/>
        <v>227920</v>
      </c>
      <c r="R118" s="36">
        <f t="shared" si="12"/>
        <v>226414</v>
      </c>
      <c r="S118" s="312">
        <f t="shared" si="13"/>
        <v>99.339241839241836</v>
      </c>
    </row>
    <row r="119" spans="2:19" x14ac:dyDescent="0.2">
      <c r="B119" s="78">
        <f t="shared" si="14"/>
        <v>10</v>
      </c>
      <c r="C119" s="7"/>
      <c r="D119" s="7"/>
      <c r="E119" s="7"/>
      <c r="F119" s="24" t="s">
        <v>81</v>
      </c>
      <c r="G119" s="7">
        <v>630</v>
      </c>
      <c r="H119" s="7" t="s">
        <v>133</v>
      </c>
      <c r="I119" s="22">
        <f>I120+I121</f>
        <v>19750</v>
      </c>
      <c r="J119" s="22">
        <f>J120+J121</f>
        <v>18432</v>
      </c>
      <c r="K119" s="218">
        <f t="shared" si="10"/>
        <v>93.326582278481013</v>
      </c>
      <c r="L119" s="278"/>
      <c r="M119" s="284"/>
      <c r="N119" s="22"/>
      <c r="O119" s="218"/>
      <c r="P119" s="278"/>
      <c r="Q119" s="304">
        <f t="shared" si="12"/>
        <v>19750</v>
      </c>
      <c r="R119" s="22">
        <f t="shared" si="12"/>
        <v>18432</v>
      </c>
      <c r="S119" s="312">
        <f t="shared" si="13"/>
        <v>93.326582278481013</v>
      </c>
    </row>
    <row r="120" spans="2:19" x14ac:dyDescent="0.2">
      <c r="B120" s="78">
        <f t="shared" si="14"/>
        <v>11</v>
      </c>
      <c r="C120" s="3"/>
      <c r="D120" s="3"/>
      <c r="E120" s="3"/>
      <c r="F120" s="25" t="s">
        <v>81</v>
      </c>
      <c r="G120" s="3">
        <v>636</v>
      </c>
      <c r="H120" s="3" t="s">
        <v>138</v>
      </c>
      <c r="I120" s="18">
        <v>9410</v>
      </c>
      <c r="J120" s="18">
        <v>9408</v>
      </c>
      <c r="K120" s="218">
        <f t="shared" si="10"/>
        <v>99.9787460148778</v>
      </c>
      <c r="L120" s="279"/>
      <c r="M120" s="285"/>
      <c r="N120" s="18"/>
      <c r="O120" s="218"/>
      <c r="P120" s="279"/>
      <c r="Q120" s="305">
        <f t="shared" si="12"/>
        <v>9410</v>
      </c>
      <c r="R120" s="18">
        <f t="shared" si="12"/>
        <v>9408</v>
      </c>
      <c r="S120" s="312">
        <f t="shared" si="13"/>
        <v>99.9787460148778</v>
      </c>
    </row>
    <row r="121" spans="2:19" x14ac:dyDescent="0.2">
      <c r="B121" s="78">
        <f t="shared" si="14"/>
        <v>12</v>
      </c>
      <c r="C121" s="3"/>
      <c r="D121" s="3"/>
      <c r="E121" s="3"/>
      <c r="F121" s="25" t="s">
        <v>81</v>
      </c>
      <c r="G121" s="3">
        <v>637</v>
      </c>
      <c r="H121" s="3" t="s">
        <v>134</v>
      </c>
      <c r="I121" s="18">
        <f>10000+340</f>
        <v>10340</v>
      </c>
      <c r="J121" s="18">
        <v>9024</v>
      </c>
      <c r="K121" s="218">
        <f t="shared" si="10"/>
        <v>87.272727272727266</v>
      </c>
      <c r="L121" s="279"/>
      <c r="M121" s="285"/>
      <c r="N121" s="18"/>
      <c r="O121" s="218"/>
      <c r="P121" s="279"/>
      <c r="Q121" s="305">
        <f t="shared" si="12"/>
        <v>10340</v>
      </c>
      <c r="R121" s="18">
        <f t="shared" si="12"/>
        <v>9024</v>
      </c>
      <c r="S121" s="312">
        <f t="shared" si="13"/>
        <v>87.272727272727266</v>
      </c>
    </row>
    <row r="122" spans="2:19" x14ac:dyDescent="0.2">
      <c r="B122" s="78">
        <f t="shared" si="14"/>
        <v>13</v>
      </c>
      <c r="C122" s="7"/>
      <c r="D122" s="7"/>
      <c r="E122" s="7"/>
      <c r="F122" s="24" t="s">
        <v>81</v>
      </c>
      <c r="G122" s="7">
        <v>710</v>
      </c>
      <c r="H122" s="7" t="s">
        <v>188</v>
      </c>
      <c r="I122" s="22"/>
      <c r="J122" s="22"/>
      <c r="K122" s="218"/>
      <c r="L122" s="278"/>
      <c r="M122" s="284">
        <f>M123</f>
        <v>208170</v>
      </c>
      <c r="N122" s="22">
        <f>N123</f>
        <v>207982</v>
      </c>
      <c r="O122" s="218">
        <f t="shared" si="11"/>
        <v>99.909689196329921</v>
      </c>
      <c r="P122" s="278"/>
      <c r="Q122" s="304">
        <f t="shared" si="12"/>
        <v>208170</v>
      </c>
      <c r="R122" s="22">
        <f t="shared" si="12"/>
        <v>207982</v>
      </c>
      <c r="S122" s="312">
        <f t="shared" si="13"/>
        <v>99.909689196329921</v>
      </c>
    </row>
    <row r="123" spans="2:19" x14ac:dyDescent="0.2">
      <c r="B123" s="78">
        <f t="shared" si="14"/>
        <v>14</v>
      </c>
      <c r="C123" s="3"/>
      <c r="D123" s="3"/>
      <c r="E123" s="3"/>
      <c r="F123" s="25" t="s">
        <v>81</v>
      </c>
      <c r="G123" s="3">
        <v>712</v>
      </c>
      <c r="H123" s="3" t="s">
        <v>65</v>
      </c>
      <c r="I123" s="18"/>
      <c r="J123" s="18"/>
      <c r="K123" s="218"/>
      <c r="L123" s="279"/>
      <c r="M123" s="285">
        <f>100+17200+300+190570</f>
        <v>208170</v>
      </c>
      <c r="N123" s="18">
        <v>207982</v>
      </c>
      <c r="O123" s="218">
        <f t="shared" si="11"/>
        <v>99.909689196329921</v>
      </c>
      <c r="P123" s="279"/>
      <c r="Q123" s="305">
        <f t="shared" si="12"/>
        <v>208170</v>
      </c>
      <c r="R123" s="18">
        <f t="shared" si="12"/>
        <v>207982</v>
      </c>
      <c r="S123" s="312">
        <f t="shared" si="13"/>
        <v>99.909689196329921</v>
      </c>
    </row>
    <row r="124" spans="2:19" ht="15" x14ac:dyDescent="0.25">
      <c r="B124" s="78">
        <f t="shared" si="14"/>
        <v>15</v>
      </c>
      <c r="C124" s="429"/>
      <c r="D124" s="429">
        <v>3</v>
      </c>
      <c r="E124" s="493" t="s">
        <v>222</v>
      </c>
      <c r="F124" s="494"/>
      <c r="G124" s="494"/>
      <c r="H124" s="495"/>
      <c r="I124" s="36">
        <f>I125</f>
        <v>65000</v>
      </c>
      <c r="J124" s="36">
        <f>J125</f>
        <v>58534</v>
      </c>
      <c r="K124" s="218">
        <f t="shared" si="10"/>
        <v>90.052307692307693</v>
      </c>
      <c r="L124" s="277"/>
      <c r="M124" s="283">
        <f>M128</f>
        <v>241304</v>
      </c>
      <c r="N124" s="36">
        <f>N128</f>
        <v>192520</v>
      </c>
      <c r="O124" s="218">
        <f t="shared" si="11"/>
        <v>79.78317806584225</v>
      </c>
      <c r="P124" s="277"/>
      <c r="Q124" s="306">
        <f t="shared" si="12"/>
        <v>306304</v>
      </c>
      <c r="R124" s="36">
        <f t="shared" si="12"/>
        <v>251054</v>
      </c>
      <c r="S124" s="312">
        <f t="shared" si="13"/>
        <v>81.9623641872127</v>
      </c>
    </row>
    <row r="125" spans="2:19" x14ac:dyDescent="0.2">
      <c r="B125" s="78">
        <f t="shared" si="14"/>
        <v>16</v>
      </c>
      <c r="C125" s="7"/>
      <c r="D125" s="7"/>
      <c r="E125" s="7"/>
      <c r="F125" s="24" t="s">
        <v>81</v>
      </c>
      <c r="G125" s="7">
        <v>630</v>
      </c>
      <c r="H125" s="7" t="s">
        <v>133</v>
      </c>
      <c r="I125" s="22">
        <f>I126+I127</f>
        <v>65000</v>
      </c>
      <c r="J125" s="22">
        <f>J126+J127</f>
        <v>58534</v>
      </c>
      <c r="K125" s="218">
        <f t="shared" si="10"/>
        <v>90.052307692307693</v>
      </c>
      <c r="L125" s="278"/>
      <c r="M125" s="284"/>
      <c r="N125" s="22"/>
      <c r="O125" s="218"/>
      <c r="P125" s="278"/>
      <c r="Q125" s="304">
        <f t="shared" si="12"/>
        <v>65000</v>
      </c>
      <c r="R125" s="22">
        <f t="shared" si="12"/>
        <v>58534</v>
      </c>
      <c r="S125" s="312">
        <f t="shared" si="13"/>
        <v>90.052307692307693</v>
      </c>
    </row>
    <row r="126" spans="2:19" x14ac:dyDescent="0.2">
      <c r="B126" s="78">
        <f t="shared" si="14"/>
        <v>17</v>
      </c>
      <c r="C126" s="3"/>
      <c r="D126" s="3"/>
      <c r="E126" s="3"/>
      <c r="F126" s="25" t="s">
        <v>81</v>
      </c>
      <c r="G126" s="3">
        <v>636</v>
      </c>
      <c r="H126" s="3" t="s">
        <v>138</v>
      </c>
      <c r="I126" s="18">
        <v>49000</v>
      </c>
      <c r="J126" s="18">
        <v>46548</v>
      </c>
      <c r="K126" s="218">
        <f t="shared" si="10"/>
        <v>94.995918367346945</v>
      </c>
      <c r="L126" s="279"/>
      <c r="M126" s="285"/>
      <c r="N126" s="18"/>
      <c r="O126" s="218"/>
      <c r="P126" s="279"/>
      <c r="Q126" s="305">
        <f t="shared" si="12"/>
        <v>49000</v>
      </c>
      <c r="R126" s="18">
        <f t="shared" si="12"/>
        <v>46548</v>
      </c>
      <c r="S126" s="312">
        <f t="shared" si="13"/>
        <v>94.995918367346945</v>
      </c>
    </row>
    <row r="127" spans="2:19" x14ac:dyDescent="0.2">
      <c r="B127" s="78">
        <f t="shared" si="14"/>
        <v>18</v>
      </c>
      <c r="C127" s="3"/>
      <c r="D127" s="3"/>
      <c r="E127" s="3"/>
      <c r="F127" s="25" t="s">
        <v>81</v>
      </c>
      <c r="G127" s="3">
        <v>637</v>
      </c>
      <c r="H127" s="3" t="s">
        <v>134</v>
      </c>
      <c r="I127" s="18">
        <f>11000+5000</f>
        <v>16000</v>
      </c>
      <c r="J127" s="18">
        <v>11986</v>
      </c>
      <c r="K127" s="218">
        <f t="shared" si="10"/>
        <v>74.912500000000009</v>
      </c>
      <c r="L127" s="279"/>
      <c r="M127" s="285"/>
      <c r="N127" s="18"/>
      <c r="O127" s="218"/>
      <c r="P127" s="279"/>
      <c r="Q127" s="305">
        <f t="shared" si="12"/>
        <v>16000</v>
      </c>
      <c r="R127" s="18">
        <f t="shared" si="12"/>
        <v>11986</v>
      </c>
      <c r="S127" s="312">
        <f t="shared" si="13"/>
        <v>74.912500000000009</v>
      </c>
    </row>
    <row r="128" spans="2:19" x14ac:dyDescent="0.2">
      <c r="B128" s="78">
        <f t="shared" si="14"/>
        <v>19</v>
      </c>
      <c r="C128" s="7"/>
      <c r="D128" s="7"/>
      <c r="E128" s="7"/>
      <c r="F128" s="24" t="s">
        <v>81</v>
      </c>
      <c r="G128" s="7">
        <v>710</v>
      </c>
      <c r="H128" s="7" t="s">
        <v>188</v>
      </c>
      <c r="I128" s="22"/>
      <c r="J128" s="22"/>
      <c r="K128" s="218"/>
      <c r="L128" s="278"/>
      <c r="M128" s="284">
        <f>M129</f>
        <v>241304</v>
      </c>
      <c r="N128" s="22">
        <f>N129</f>
        <v>192520</v>
      </c>
      <c r="O128" s="218">
        <f t="shared" si="11"/>
        <v>79.78317806584225</v>
      </c>
      <c r="P128" s="278"/>
      <c r="Q128" s="304">
        <f t="shared" si="12"/>
        <v>241304</v>
      </c>
      <c r="R128" s="22">
        <f t="shared" si="12"/>
        <v>192520</v>
      </c>
      <c r="S128" s="312">
        <f t="shared" si="13"/>
        <v>79.78317806584225</v>
      </c>
    </row>
    <row r="129" spans="2:19" x14ac:dyDescent="0.2">
      <c r="B129" s="78">
        <f t="shared" si="14"/>
        <v>20</v>
      </c>
      <c r="C129" s="3"/>
      <c r="D129" s="3"/>
      <c r="E129" s="3"/>
      <c r="F129" s="25" t="s">
        <v>81</v>
      </c>
      <c r="G129" s="3">
        <v>711</v>
      </c>
      <c r="H129" s="3" t="s">
        <v>224</v>
      </c>
      <c r="I129" s="18"/>
      <c r="J129" s="18"/>
      <c r="K129" s="218"/>
      <c r="L129" s="279"/>
      <c r="M129" s="297">
        <f>307000-17200-4000-12700+205519-47000-37745-5000-190570+20000+23000</f>
        <v>241304</v>
      </c>
      <c r="N129" s="60">
        <v>192520</v>
      </c>
      <c r="O129" s="218">
        <f t="shared" si="11"/>
        <v>79.78317806584225</v>
      </c>
      <c r="P129" s="279"/>
      <c r="Q129" s="305">
        <f t="shared" si="12"/>
        <v>241304</v>
      </c>
      <c r="R129" s="18">
        <f t="shared" si="12"/>
        <v>192520</v>
      </c>
      <c r="S129" s="312">
        <f t="shared" si="13"/>
        <v>79.78317806584225</v>
      </c>
    </row>
    <row r="130" spans="2:19" ht="15" x14ac:dyDescent="0.2">
      <c r="B130" s="78">
        <f t="shared" si="14"/>
        <v>21</v>
      </c>
      <c r="C130" s="430">
        <v>3</v>
      </c>
      <c r="D130" s="505" t="s">
        <v>161</v>
      </c>
      <c r="E130" s="494"/>
      <c r="F130" s="494"/>
      <c r="G130" s="494"/>
      <c r="H130" s="495"/>
      <c r="I130" s="35">
        <f>I131</f>
        <v>8000</v>
      </c>
      <c r="J130" s="35">
        <f>J131</f>
        <v>7782</v>
      </c>
      <c r="K130" s="218">
        <f t="shared" si="10"/>
        <v>97.275000000000006</v>
      </c>
      <c r="L130" s="276"/>
      <c r="M130" s="282">
        <v>0</v>
      </c>
      <c r="N130" s="35"/>
      <c r="O130" s="218"/>
      <c r="P130" s="276"/>
      <c r="Q130" s="303">
        <f t="shared" si="12"/>
        <v>8000</v>
      </c>
      <c r="R130" s="35">
        <f t="shared" si="12"/>
        <v>7782</v>
      </c>
      <c r="S130" s="312">
        <f t="shared" si="13"/>
        <v>97.275000000000006</v>
      </c>
    </row>
    <row r="131" spans="2:19" x14ac:dyDescent="0.2">
      <c r="B131" s="78">
        <f t="shared" si="14"/>
        <v>22</v>
      </c>
      <c r="C131" s="7"/>
      <c r="D131" s="7"/>
      <c r="E131" s="7"/>
      <c r="F131" s="24" t="s">
        <v>81</v>
      </c>
      <c r="G131" s="7">
        <v>630</v>
      </c>
      <c r="H131" s="7" t="s">
        <v>133</v>
      </c>
      <c r="I131" s="22">
        <f>I132+I133</f>
        <v>8000</v>
      </c>
      <c r="J131" s="22">
        <f>J132+J133</f>
        <v>7782</v>
      </c>
      <c r="K131" s="218">
        <f t="shared" si="10"/>
        <v>97.275000000000006</v>
      </c>
      <c r="L131" s="278"/>
      <c r="M131" s="284"/>
      <c r="N131" s="22"/>
      <c r="O131" s="218"/>
      <c r="P131" s="278"/>
      <c r="Q131" s="304">
        <f t="shared" si="12"/>
        <v>8000</v>
      </c>
      <c r="R131" s="22">
        <f t="shared" si="12"/>
        <v>7782</v>
      </c>
      <c r="S131" s="312">
        <f t="shared" si="13"/>
        <v>97.275000000000006</v>
      </c>
    </row>
    <row r="132" spans="2:19" x14ac:dyDescent="0.2">
      <c r="B132" s="78">
        <f t="shared" si="14"/>
        <v>23</v>
      </c>
      <c r="C132" s="3"/>
      <c r="D132" s="3"/>
      <c r="E132" s="3"/>
      <c r="F132" s="25" t="s">
        <v>81</v>
      </c>
      <c r="G132" s="3">
        <v>633</v>
      </c>
      <c r="H132" s="3" t="s">
        <v>137</v>
      </c>
      <c r="I132" s="18">
        <f>1000+1000</f>
        <v>2000</v>
      </c>
      <c r="J132" s="18">
        <v>1860</v>
      </c>
      <c r="K132" s="218">
        <f t="shared" si="10"/>
        <v>93</v>
      </c>
      <c r="L132" s="279"/>
      <c r="M132" s="285"/>
      <c r="N132" s="18"/>
      <c r="O132" s="218"/>
      <c r="P132" s="279"/>
      <c r="Q132" s="305">
        <f t="shared" si="12"/>
        <v>2000</v>
      </c>
      <c r="R132" s="18">
        <f t="shared" si="12"/>
        <v>1860</v>
      </c>
      <c r="S132" s="312">
        <f t="shared" si="13"/>
        <v>93</v>
      </c>
    </row>
    <row r="133" spans="2:19" x14ac:dyDescent="0.2">
      <c r="B133" s="78">
        <f t="shared" si="14"/>
        <v>24</v>
      </c>
      <c r="C133" s="3"/>
      <c r="D133" s="3"/>
      <c r="E133" s="3"/>
      <c r="F133" s="25" t="s">
        <v>81</v>
      </c>
      <c r="G133" s="3">
        <v>637</v>
      </c>
      <c r="H133" s="3" t="s">
        <v>134</v>
      </c>
      <c r="I133" s="18">
        <f>7000-1000</f>
        <v>6000</v>
      </c>
      <c r="J133" s="18">
        <v>5922</v>
      </c>
      <c r="K133" s="218">
        <f t="shared" si="10"/>
        <v>98.7</v>
      </c>
      <c r="L133" s="279"/>
      <c r="M133" s="285"/>
      <c r="N133" s="18"/>
      <c r="O133" s="218"/>
      <c r="P133" s="279"/>
      <c r="Q133" s="305">
        <f t="shared" si="12"/>
        <v>6000</v>
      </c>
      <c r="R133" s="18">
        <f t="shared" si="12"/>
        <v>5922</v>
      </c>
      <c r="S133" s="312">
        <f t="shared" si="13"/>
        <v>98.7</v>
      </c>
    </row>
    <row r="134" spans="2:19" ht="15" x14ac:dyDescent="0.2">
      <c r="B134" s="78">
        <f t="shared" si="14"/>
        <v>25</v>
      </c>
      <c r="C134" s="430">
        <v>4</v>
      </c>
      <c r="D134" s="505" t="s">
        <v>206</v>
      </c>
      <c r="E134" s="494"/>
      <c r="F134" s="494"/>
      <c r="G134" s="494"/>
      <c r="H134" s="495"/>
      <c r="I134" s="35">
        <f>I135+I154</f>
        <v>250210</v>
      </c>
      <c r="J134" s="35">
        <f>J135+J154</f>
        <v>187410</v>
      </c>
      <c r="K134" s="218">
        <f t="shared" si="10"/>
        <v>74.901083090204224</v>
      </c>
      <c r="L134" s="276"/>
      <c r="M134" s="282">
        <f>M143+M154</f>
        <v>234410</v>
      </c>
      <c r="N134" s="35">
        <f>N143+N154</f>
        <v>211203</v>
      </c>
      <c r="O134" s="218">
        <f t="shared" si="11"/>
        <v>90.099825092786148</v>
      </c>
      <c r="P134" s="276"/>
      <c r="Q134" s="303">
        <f t="shared" si="12"/>
        <v>484620</v>
      </c>
      <c r="R134" s="35">
        <f t="shared" si="12"/>
        <v>398613</v>
      </c>
      <c r="S134" s="312">
        <f t="shared" si="13"/>
        <v>82.252692831496844</v>
      </c>
    </row>
    <row r="135" spans="2:19" x14ac:dyDescent="0.2">
      <c r="B135" s="78">
        <f t="shared" si="14"/>
        <v>26</v>
      </c>
      <c r="C135" s="7"/>
      <c r="D135" s="7"/>
      <c r="E135" s="7"/>
      <c r="F135" s="25" t="s">
        <v>165</v>
      </c>
      <c r="G135" s="7">
        <v>630</v>
      </c>
      <c r="H135" s="7" t="s">
        <v>133</v>
      </c>
      <c r="I135" s="22">
        <f>SUM(I136:I142)</f>
        <v>242060</v>
      </c>
      <c r="J135" s="22">
        <f>SUM(J136:J142)</f>
        <v>181669</v>
      </c>
      <c r="K135" s="218">
        <f t="shared" si="10"/>
        <v>75.051226968520197</v>
      </c>
      <c r="L135" s="278"/>
      <c r="M135" s="284"/>
      <c r="N135" s="22"/>
      <c r="O135" s="218"/>
      <c r="P135" s="278"/>
      <c r="Q135" s="304">
        <f t="shared" si="12"/>
        <v>242060</v>
      </c>
      <c r="R135" s="22">
        <f t="shared" si="12"/>
        <v>181669</v>
      </c>
      <c r="S135" s="312">
        <f t="shared" si="13"/>
        <v>75.051226968520197</v>
      </c>
    </row>
    <row r="136" spans="2:19" x14ac:dyDescent="0.2">
      <c r="B136" s="78">
        <f t="shared" si="14"/>
        <v>27</v>
      </c>
      <c r="C136" s="7"/>
      <c r="D136" s="7"/>
      <c r="E136" s="7"/>
      <c r="F136" s="25" t="s">
        <v>165</v>
      </c>
      <c r="G136" s="50">
        <v>632</v>
      </c>
      <c r="H136" s="3" t="s">
        <v>146</v>
      </c>
      <c r="I136" s="19">
        <f>96000+1800-5400</f>
        <v>92400</v>
      </c>
      <c r="J136" s="19">
        <v>45668</v>
      </c>
      <c r="K136" s="218">
        <f t="shared" si="10"/>
        <v>49.424242424242429</v>
      </c>
      <c r="L136" s="279"/>
      <c r="M136" s="284"/>
      <c r="N136" s="22"/>
      <c r="O136" s="218"/>
      <c r="P136" s="278"/>
      <c r="Q136" s="304">
        <f t="shared" si="12"/>
        <v>92400</v>
      </c>
      <c r="R136" s="22">
        <f t="shared" si="12"/>
        <v>45668</v>
      </c>
      <c r="S136" s="312">
        <f t="shared" si="13"/>
        <v>49.424242424242429</v>
      </c>
    </row>
    <row r="137" spans="2:19" x14ac:dyDescent="0.2">
      <c r="B137" s="78">
        <f t="shared" si="14"/>
        <v>28</v>
      </c>
      <c r="C137" s="7"/>
      <c r="D137" s="7"/>
      <c r="E137" s="7"/>
      <c r="F137" s="25" t="s">
        <v>165</v>
      </c>
      <c r="G137" s="3">
        <v>633</v>
      </c>
      <c r="H137" s="3" t="s">
        <v>137</v>
      </c>
      <c r="I137" s="19">
        <f>5000+5200</f>
        <v>10200</v>
      </c>
      <c r="J137" s="19">
        <v>9315</v>
      </c>
      <c r="K137" s="218">
        <f t="shared" si="10"/>
        <v>91.32352941176471</v>
      </c>
      <c r="L137" s="279"/>
      <c r="M137" s="284"/>
      <c r="N137" s="22"/>
      <c r="O137" s="218"/>
      <c r="P137" s="278"/>
      <c r="Q137" s="304">
        <f t="shared" si="12"/>
        <v>10200</v>
      </c>
      <c r="R137" s="22">
        <f t="shared" si="12"/>
        <v>9315</v>
      </c>
      <c r="S137" s="312">
        <f t="shared" si="13"/>
        <v>91.32352941176471</v>
      </c>
    </row>
    <row r="138" spans="2:19" x14ac:dyDescent="0.2">
      <c r="B138" s="78">
        <f t="shared" si="14"/>
        <v>29</v>
      </c>
      <c r="C138" s="3"/>
      <c r="D138" s="3"/>
      <c r="E138" s="3"/>
      <c r="F138" s="25" t="s">
        <v>165</v>
      </c>
      <c r="G138" s="3">
        <v>635</v>
      </c>
      <c r="H138" s="3" t="s">
        <v>145</v>
      </c>
      <c r="I138" s="19">
        <f>57000+2500+3700-19500+3500-8200</f>
        <v>39000</v>
      </c>
      <c r="J138" s="19">
        <v>31914</v>
      </c>
      <c r="K138" s="218">
        <f t="shared" si="10"/>
        <v>81.830769230769235</v>
      </c>
      <c r="L138" s="279"/>
      <c r="M138" s="285"/>
      <c r="N138" s="18"/>
      <c r="O138" s="218"/>
      <c r="P138" s="279"/>
      <c r="Q138" s="305">
        <f t="shared" si="12"/>
        <v>39000</v>
      </c>
      <c r="R138" s="18">
        <f t="shared" si="12"/>
        <v>31914</v>
      </c>
      <c r="S138" s="312">
        <f t="shared" si="13"/>
        <v>81.830769230769235</v>
      </c>
    </row>
    <row r="139" spans="2:19" x14ac:dyDescent="0.2">
      <c r="B139" s="78">
        <f t="shared" si="14"/>
        <v>30</v>
      </c>
      <c r="C139" s="3"/>
      <c r="D139" s="3"/>
      <c r="E139" s="3"/>
      <c r="F139" s="25" t="s">
        <v>165</v>
      </c>
      <c r="G139" s="3">
        <v>635</v>
      </c>
      <c r="H139" s="3" t="s">
        <v>500</v>
      </c>
      <c r="I139" s="19">
        <f>9000-2000</f>
        <v>7000</v>
      </c>
      <c r="J139" s="19">
        <v>6164</v>
      </c>
      <c r="K139" s="218">
        <f t="shared" si="10"/>
        <v>88.05714285714285</v>
      </c>
      <c r="L139" s="279"/>
      <c r="M139" s="285"/>
      <c r="N139" s="18"/>
      <c r="O139" s="218"/>
      <c r="P139" s="279"/>
      <c r="Q139" s="305">
        <f t="shared" si="12"/>
        <v>7000</v>
      </c>
      <c r="R139" s="18">
        <f t="shared" si="12"/>
        <v>6164</v>
      </c>
      <c r="S139" s="312">
        <f t="shared" si="13"/>
        <v>88.05714285714285</v>
      </c>
    </row>
    <row r="140" spans="2:19" x14ac:dyDescent="0.2">
      <c r="B140" s="78">
        <f t="shared" si="14"/>
        <v>31</v>
      </c>
      <c r="C140" s="3"/>
      <c r="D140" s="3"/>
      <c r="E140" s="3"/>
      <c r="F140" s="25" t="s">
        <v>165</v>
      </c>
      <c r="G140" s="3">
        <v>635</v>
      </c>
      <c r="H140" s="3" t="s">
        <v>493</v>
      </c>
      <c r="I140" s="19">
        <v>81000</v>
      </c>
      <c r="J140" s="19">
        <v>78217</v>
      </c>
      <c r="K140" s="218">
        <f t="shared" si="10"/>
        <v>96.564197530864192</v>
      </c>
      <c r="L140" s="279"/>
      <c r="M140" s="285"/>
      <c r="N140" s="18"/>
      <c r="O140" s="218"/>
      <c r="P140" s="279"/>
      <c r="Q140" s="305">
        <f t="shared" si="12"/>
        <v>81000</v>
      </c>
      <c r="R140" s="18">
        <f t="shared" si="12"/>
        <v>78217</v>
      </c>
      <c r="S140" s="312">
        <f t="shared" si="13"/>
        <v>96.564197530864192</v>
      </c>
    </row>
    <row r="141" spans="2:19" x14ac:dyDescent="0.2">
      <c r="B141" s="78">
        <f t="shared" si="14"/>
        <v>32</v>
      </c>
      <c r="C141" s="3"/>
      <c r="D141" s="3"/>
      <c r="E141" s="3"/>
      <c r="F141" s="25" t="s">
        <v>165</v>
      </c>
      <c r="G141" s="3">
        <v>635</v>
      </c>
      <c r="H141" s="3" t="s">
        <v>551</v>
      </c>
      <c r="I141" s="19">
        <v>6000</v>
      </c>
      <c r="J141" s="19">
        <f>2900+3005</f>
        <v>5905</v>
      </c>
      <c r="K141" s="218">
        <f t="shared" si="10"/>
        <v>98.416666666666657</v>
      </c>
      <c r="L141" s="279"/>
      <c r="M141" s="285"/>
      <c r="N141" s="18"/>
      <c r="O141" s="218"/>
      <c r="P141" s="279"/>
      <c r="Q141" s="305">
        <f t="shared" si="12"/>
        <v>6000</v>
      </c>
      <c r="R141" s="18">
        <f t="shared" si="12"/>
        <v>5905</v>
      </c>
      <c r="S141" s="312">
        <f t="shared" si="13"/>
        <v>98.416666666666657</v>
      </c>
    </row>
    <row r="142" spans="2:19" x14ac:dyDescent="0.2">
      <c r="B142" s="78">
        <f t="shared" si="14"/>
        <v>33</v>
      </c>
      <c r="C142" s="3"/>
      <c r="D142" s="3"/>
      <c r="E142" s="3"/>
      <c r="F142" s="25" t="s">
        <v>165</v>
      </c>
      <c r="G142" s="3">
        <v>637</v>
      </c>
      <c r="H142" s="3" t="s">
        <v>134</v>
      </c>
      <c r="I142" s="18">
        <f>7250+50-340-2500+2000</f>
        <v>6460</v>
      </c>
      <c r="J142" s="18">
        <v>4486</v>
      </c>
      <c r="K142" s="218">
        <f t="shared" si="10"/>
        <v>69.442724458204324</v>
      </c>
      <c r="L142" s="279"/>
      <c r="M142" s="285"/>
      <c r="N142" s="18"/>
      <c r="O142" s="218"/>
      <c r="P142" s="279"/>
      <c r="Q142" s="305">
        <f t="shared" si="12"/>
        <v>6460</v>
      </c>
      <c r="R142" s="18">
        <f t="shared" si="12"/>
        <v>4486</v>
      </c>
      <c r="S142" s="312">
        <f t="shared" si="13"/>
        <v>69.442724458204324</v>
      </c>
    </row>
    <row r="143" spans="2:19" x14ac:dyDescent="0.2">
      <c r="B143" s="78">
        <f t="shared" si="14"/>
        <v>34</v>
      </c>
      <c r="C143" s="7"/>
      <c r="D143" s="7"/>
      <c r="E143" s="7"/>
      <c r="F143" s="24" t="s">
        <v>207</v>
      </c>
      <c r="G143" s="7">
        <v>710</v>
      </c>
      <c r="H143" s="7" t="s">
        <v>188</v>
      </c>
      <c r="I143" s="22"/>
      <c r="J143" s="22"/>
      <c r="K143" s="218"/>
      <c r="L143" s="278"/>
      <c r="M143" s="284">
        <f>M144+M148</f>
        <v>234410</v>
      </c>
      <c r="N143" s="22">
        <f>N144+N148</f>
        <v>211203</v>
      </c>
      <c r="O143" s="218">
        <f t="shared" si="11"/>
        <v>90.099825092786148</v>
      </c>
      <c r="P143" s="278"/>
      <c r="Q143" s="304">
        <f t="shared" ref="Q143:R181" si="15">I143+M143</f>
        <v>234410</v>
      </c>
      <c r="R143" s="22">
        <f t="shared" si="15"/>
        <v>211203</v>
      </c>
      <c r="S143" s="312">
        <f t="shared" si="13"/>
        <v>90.099825092786148</v>
      </c>
    </row>
    <row r="144" spans="2:19" x14ac:dyDescent="0.2">
      <c r="B144" s="78">
        <f t="shared" si="14"/>
        <v>35</v>
      </c>
      <c r="C144" s="3"/>
      <c r="D144" s="3"/>
      <c r="E144" s="3"/>
      <c r="F144" s="25" t="s">
        <v>207</v>
      </c>
      <c r="G144" s="3">
        <v>716</v>
      </c>
      <c r="H144" s="3" t="s">
        <v>231</v>
      </c>
      <c r="I144" s="18"/>
      <c r="J144" s="18"/>
      <c r="K144" s="218"/>
      <c r="L144" s="279"/>
      <c r="M144" s="285">
        <f>SUM(M145:M147)</f>
        <v>15200</v>
      </c>
      <c r="N144" s="18">
        <f>SUM(N145:N147)</f>
        <v>14184</v>
      </c>
      <c r="O144" s="218">
        <f t="shared" si="11"/>
        <v>93.315789473684205</v>
      </c>
      <c r="P144" s="279"/>
      <c r="Q144" s="305">
        <f t="shared" si="15"/>
        <v>15200</v>
      </c>
      <c r="R144" s="18">
        <f t="shared" si="15"/>
        <v>14184</v>
      </c>
      <c r="S144" s="312">
        <f t="shared" si="13"/>
        <v>93.315789473684205</v>
      </c>
    </row>
    <row r="145" spans="2:19" x14ac:dyDescent="0.2">
      <c r="B145" s="78">
        <f t="shared" si="14"/>
        <v>36</v>
      </c>
      <c r="C145" s="4"/>
      <c r="D145" s="4"/>
      <c r="E145" s="4"/>
      <c r="F145" s="26"/>
      <c r="G145" s="4"/>
      <c r="H145" s="4" t="s">
        <v>318</v>
      </c>
      <c r="I145" s="20"/>
      <c r="J145" s="20"/>
      <c r="K145" s="218"/>
      <c r="L145" s="280"/>
      <c r="M145" s="286">
        <v>9600</v>
      </c>
      <c r="N145" s="20">
        <v>9600</v>
      </c>
      <c r="O145" s="218">
        <f t="shared" si="11"/>
        <v>100</v>
      </c>
      <c r="P145" s="280"/>
      <c r="Q145" s="307">
        <f t="shared" si="15"/>
        <v>9600</v>
      </c>
      <c r="R145" s="20">
        <f t="shared" si="15"/>
        <v>9600</v>
      </c>
      <c r="S145" s="312">
        <f t="shared" si="13"/>
        <v>100</v>
      </c>
    </row>
    <row r="146" spans="2:19" x14ac:dyDescent="0.2">
      <c r="B146" s="78">
        <f t="shared" si="14"/>
        <v>37</v>
      </c>
      <c r="C146" s="4"/>
      <c r="D146" s="4"/>
      <c r="E146" s="4"/>
      <c r="F146" s="26"/>
      <c r="G146" s="4"/>
      <c r="H146" s="4" t="s">
        <v>319</v>
      </c>
      <c r="I146" s="20"/>
      <c r="J146" s="20"/>
      <c r="K146" s="218"/>
      <c r="L146" s="280"/>
      <c r="M146" s="298">
        <v>1000</v>
      </c>
      <c r="N146" s="21">
        <v>0</v>
      </c>
      <c r="O146" s="218">
        <f t="shared" si="11"/>
        <v>0</v>
      </c>
      <c r="P146" s="280"/>
      <c r="Q146" s="307">
        <f t="shared" si="15"/>
        <v>1000</v>
      </c>
      <c r="R146" s="20">
        <f t="shared" si="15"/>
        <v>0</v>
      </c>
      <c r="S146" s="312">
        <f t="shared" si="13"/>
        <v>0</v>
      </c>
    </row>
    <row r="147" spans="2:19" x14ac:dyDescent="0.2">
      <c r="B147" s="78">
        <f t="shared" si="14"/>
        <v>38</v>
      </c>
      <c r="C147" s="4"/>
      <c r="D147" s="4"/>
      <c r="E147" s="4"/>
      <c r="F147" s="26"/>
      <c r="G147" s="4"/>
      <c r="H147" s="4" t="s">
        <v>317</v>
      </c>
      <c r="I147" s="20"/>
      <c r="J147" s="20"/>
      <c r="K147" s="218"/>
      <c r="L147" s="280"/>
      <c r="M147" s="298">
        <v>4600</v>
      </c>
      <c r="N147" s="21">
        <v>4584</v>
      </c>
      <c r="O147" s="218">
        <f t="shared" si="11"/>
        <v>99.65217391304347</v>
      </c>
      <c r="P147" s="280"/>
      <c r="Q147" s="307">
        <f t="shared" si="15"/>
        <v>4600</v>
      </c>
      <c r="R147" s="20">
        <f t="shared" si="15"/>
        <v>4584</v>
      </c>
      <c r="S147" s="312">
        <f t="shared" si="13"/>
        <v>99.65217391304347</v>
      </c>
    </row>
    <row r="148" spans="2:19" x14ac:dyDescent="0.2">
      <c r="B148" s="78">
        <f t="shared" si="14"/>
        <v>39</v>
      </c>
      <c r="C148" s="3"/>
      <c r="D148" s="3"/>
      <c r="E148" s="3"/>
      <c r="F148" s="25" t="s">
        <v>207</v>
      </c>
      <c r="G148" s="3">
        <v>717</v>
      </c>
      <c r="H148" s="3" t="s">
        <v>198</v>
      </c>
      <c r="I148" s="18"/>
      <c r="J148" s="18"/>
      <c r="K148" s="218"/>
      <c r="L148" s="279"/>
      <c r="M148" s="285">
        <f>SUM(M149:M153)</f>
        <v>219210</v>
      </c>
      <c r="N148" s="18">
        <f>SUM(N149:N153)</f>
        <v>197019</v>
      </c>
      <c r="O148" s="218">
        <f t="shared" si="11"/>
        <v>89.876830436567673</v>
      </c>
      <c r="P148" s="279"/>
      <c r="Q148" s="305">
        <f t="shared" si="15"/>
        <v>219210</v>
      </c>
      <c r="R148" s="18">
        <f t="shared" si="15"/>
        <v>197019</v>
      </c>
      <c r="S148" s="312">
        <f t="shared" si="13"/>
        <v>89.876830436567673</v>
      </c>
    </row>
    <row r="149" spans="2:19" x14ac:dyDescent="0.2">
      <c r="B149" s="78">
        <f t="shared" si="14"/>
        <v>40</v>
      </c>
      <c r="C149" s="4"/>
      <c r="D149" s="4"/>
      <c r="E149" s="4"/>
      <c r="F149" s="26"/>
      <c r="G149" s="4"/>
      <c r="H149" s="4" t="s">
        <v>317</v>
      </c>
      <c r="I149" s="20"/>
      <c r="J149" s="20"/>
      <c r="K149" s="218"/>
      <c r="L149" s="280"/>
      <c r="M149" s="286">
        <v>151810</v>
      </c>
      <c r="N149" s="20">
        <v>139335</v>
      </c>
      <c r="O149" s="218">
        <f t="shared" si="11"/>
        <v>91.782491271984725</v>
      </c>
      <c r="P149" s="280"/>
      <c r="Q149" s="307">
        <f t="shared" si="15"/>
        <v>151810</v>
      </c>
      <c r="R149" s="20">
        <f t="shared" si="15"/>
        <v>139335</v>
      </c>
      <c r="S149" s="312">
        <f t="shared" si="13"/>
        <v>91.782491271984725</v>
      </c>
    </row>
    <row r="150" spans="2:19" x14ac:dyDescent="0.2">
      <c r="B150" s="78">
        <f t="shared" si="14"/>
        <v>41</v>
      </c>
      <c r="C150" s="4"/>
      <c r="D150" s="4"/>
      <c r="E150" s="4"/>
      <c r="F150" s="26"/>
      <c r="G150" s="4"/>
      <c r="H150" s="4" t="s">
        <v>319</v>
      </c>
      <c r="I150" s="20"/>
      <c r="J150" s="20"/>
      <c r="K150" s="218"/>
      <c r="L150" s="280"/>
      <c r="M150" s="298">
        <f>40000-1000+4100</f>
        <v>43100</v>
      </c>
      <c r="N150" s="21">
        <v>43092</v>
      </c>
      <c r="O150" s="218">
        <f t="shared" si="11"/>
        <v>99.981438515081209</v>
      </c>
      <c r="P150" s="280"/>
      <c r="Q150" s="307">
        <f t="shared" si="15"/>
        <v>43100</v>
      </c>
      <c r="R150" s="20">
        <f t="shared" si="15"/>
        <v>43092</v>
      </c>
      <c r="S150" s="312">
        <f t="shared" si="13"/>
        <v>99.981438515081209</v>
      </c>
    </row>
    <row r="151" spans="2:19" x14ac:dyDescent="0.2">
      <c r="B151" s="78">
        <f t="shared" si="14"/>
        <v>42</v>
      </c>
      <c r="C151" s="4"/>
      <c r="D151" s="12"/>
      <c r="E151" s="4"/>
      <c r="F151" s="30"/>
      <c r="G151" s="4"/>
      <c r="H151" s="13" t="s">
        <v>495</v>
      </c>
      <c r="I151" s="20"/>
      <c r="J151" s="20"/>
      <c r="K151" s="218"/>
      <c r="L151" s="280"/>
      <c r="M151" s="286">
        <f>10000+7000</f>
        <v>17000</v>
      </c>
      <c r="N151" s="20">
        <v>11115</v>
      </c>
      <c r="O151" s="218">
        <f t="shared" si="11"/>
        <v>65.382352941176464</v>
      </c>
      <c r="P151" s="280"/>
      <c r="Q151" s="307">
        <f t="shared" si="15"/>
        <v>17000</v>
      </c>
      <c r="R151" s="20">
        <f t="shared" si="15"/>
        <v>11115</v>
      </c>
      <c r="S151" s="312">
        <f t="shared" si="13"/>
        <v>65.382352941176464</v>
      </c>
    </row>
    <row r="152" spans="2:19" x14ac:dyDescent="0.2">
      <c r="B152" s="78">
        <f t="shared" si="14"/>
        <v>43</v>
      </c>
      <c r="C152" s="4"/>
      <c r="D152" s="12"/>
      <c r="E152" s="4"/>
      <c r="F152" s="30"/>
      <c r="G152" s="4"/>
      <c r="H152" s="13" t="s">
        <v>564</v>
      </c>
      <c r="I152" s="20"/>
      <c r="J152" s="20"/>
      <c r="K152" s="218"/>
      <c r="L152" s="280"/>
      <c r="M152" s="286">
        <v>4000</v>
      </c>
      <c r="N152" s="20">
        <v>3477</v>
      </c>
      <c r="O152" s="218">
        <f t="shared" si="11"/>
        <v>86.924999999999997</v>
      </c>
      <c r="P152" s="280"/>
      <c r="Q152" s="307">
        <f t="shared" si="15"/>
        <v>4000</v>
      </c>
      <c r="R152" s="20">
        <f t="shared" si="15"/>
        <v>3477</v>
      </c>
      <c r="S152" s="312">
        <f t="shared" si="13"/>
        <v>86.924999999999997</v>
      </c>
    </row>
    <row r="153" spans="2:19" x14ac:dyDescent="0.2">
      <c r="B153" s="78">
        <f t="shared" si="14"/>
        <v>44</v>
      </c>
      <c r="C153" s="4"/>
      <c r="D153" s="12"/>
      <c r="E153" s="4"/>
      <c r="F153" s="30"/>
      <c r="G153" s="4"/>
      <c r="H153" s="13" t="s">
        <v>568</v>
      </c>
      <c r="I153" s="20"/>
      <c r="J153" s="20"/>
      <c r="K153" s="218"/>
      <c r="L153" s="280"/>
      <c r="M153" s="286">
        <v>3300</v>
      </c>
      <c r="N153" s="20">
        <v>0</v>
      </c>
      <c r="O153" s="218">
        <f t="shared" si="11"/>
        <v>0</v>
      </c>
      <c r="P153" s="280"/>
      <c r="Q153" s="307">
        <f t="shared" si="15"/>
        <v>3300</v>
      </c>
      <c r="R153" s="20">
        <f t="shared" si="15"/>
        <v>0</v>
      </c>
      <c r="S153" s="312">
        <f t="shared" si="13"/>
        <v>0</v>
      </c>
    </row>
    <row r="154" spans="2:19" ht="15" x14ac:dyDescent="0.25">
      <c r="B154" s="78">
        <f t="shared" si="14"/>
        <v>45</v>
      </c>
      <c r="C154" s="10"/>
      <c r="D154" s="10"/>
      <c r="E154" s="10">
        <v>2</v>
      </c>
      <c r="F154" s="27"/>
      <c r="G154" s="10"/>
      <c r="H154" s="10" t="s">
        <v>401</v>
      </c>
      <c r="I154" s="37">
        <f>I155</f>
        <v>8150</v>
      </c>
      <c r="J154" s="37">
        <f>J155</f>
        <v>5741</v>
      </c>
      <c r="K154" s="218">
        <f t="shared" si="10"/>
        <v>70.441717791411037</v>
      </c>
      <c r="L154" s="295"/>
      <c r="M154" s="299">
        <v>0</v>
      </c>
      <c r="N154" s="37">
        <v>0</v>
      </c>
      <c r="O154" s="218"/>
      <c r="P154" s="295"/>
      <c r="Q154" s="308">
        <f t="shared" si="15"/>
        <v>8150</v>
      </c>
      <c r="R154" s="37">
        <f t="shared" si="15"/>
        <v>5741</v>
      </c>
      <c r="S154" s="312">
        <f t="shared" si="13"/>
        <v>70.441717791411037</v>
      </c>
    </row>
    <row r="155" spans="2:19" x14ac:dyDescent="0.2">
      <c r="B155" s="78">
        <f t="shared" si="14"/>
        <v>46</v>
      </c>
      <c r="C155" s="7"/>
      <c r="D155" s="7"/>
      <c r="E155" s="7"/>
      <c r="F155" s="24" t="s">
        <v>165</v>
      </c>
      <c r="G155" s="7">
        <v>630</v>
      </c>
      <c r="H155" s="7" t="s">
        <v>133</v>
      </c>
      <c r="I155" s="22">
        <f>SUM(I156:I157)</f>
        <v>8150</v>
      </c>
      <c r="J155" s="22">
        <f>SUM(J156:J157)</f>
        <v>5741</v>
      </c>
      <c r="K155" s="218">
        <f t="shared" si="10"/>
        <v>70.441717791411037</v>
      </c>
      <c r="L155" s="278"/>
      <c r="M155" s="284"/>
      <c r="N155" s="22"/>
      <c r="O155" s="218"/>
      <c r="P155" s="278"/>
      <c r="Q155" s="304">
        <f t="shared" si="15"/>
        <v>8150</v>
      </c>
      <c r="R155" s="22">
        <f t="shared" si="15"/>
        <v>5741</v>
      </c>
      <c r="S155" s="312">
        <f t="shared" si="13"/>
        <v>70.441717791411037</v>
      </c>
    </row>
    <row r="156" spans="2:19" x14ac:dyDescent="0.2">
      <c r="B156" s="78">
        <f t="shared" si="14"/>
        <v>47</v>
      </c>
      <c r="C156" s="3"/>
      <c r="D156" s="3"/>
      <c r="E156" s="3"/>
      <c r="F156" s="25" t="s">
        <v>165</v>
      </c>
      <c r="G156" s="3">
        <v>632</v>
      </c>
      <c r="H156" s="3" t="s">
        <v>146</v>
      </c>
      <c r="I156" s="18">
        <f>12000-1500-3350</f>
        <v>7150</v>
      </c>
      <c r="J156" s="18">
        <v>5457</v>
      </c>
      <c r="K156" s="218">
        <f t="shared" si="10"/>
        <v>76.32167832167832</v>
      </c>
      <c r="L156" s="279"/>
      <c r="M156" s="285"/>
      <c r="N156" s="18"/>
      <c r="O156" s="218"/>
      <c r="P156" s="279"/>
      <c r="Q156" s="305">
        <f t="shared" si="15"/>
        <v>7150</v>
      </c>
      <c r="R156" s="18">
        <f t="shared" si="15"/>
        <v>5457</v>
      </c>
      <c r="S156" s="312">
        <f t="shared" si="13"/>
        <v>76.32167832167832</v>
      </c>
    </row>
    <row r="157" spans="2:19" x14ac:dyDescent="0.2">
      <c r="B157" s="78">
        <f t="shared" si="14"/>
        <v>48</v>
      </c>
      <c r="C157" s="3"/>
      <c r="D157" s="3"/>
      <c r="E157" s="3"/>
      <c r="F157" s="25" t="s">
        <v>165</v>
      </c>
      <c r="G157" s="3">
        <v>635</v>
      </c>
      <c r="H157" s="3" t="s">
        <v>145</v>
      </c>
      <c r="I157" s="18">
        <v>1000</v>
      </c>
      <c r="J157" s="18">
        <v>284</v>
      </c>
      <c r="K157" s="218">
        <f t="shared" si="10"/>
        <v>28.4</v>
      </c>
      <c r="L157" s="279"/>
      <c r="M157" s="285"/>
      <c r="N157" s="18"/>
      <c r="O157" s="218"/>
      <c r="P157" s="279"/>
      <c r="Q157" s="305">
        <f t="shared" si="15"/>
        <v>1000</v>
      </c>
      <c r="R157" s="18">
        <f t="shared" si="15"/>
        <v>284</v>
      </c>
      <c r="S157" s="312">
        <f t="shared" si="13"/>
        <v>28.4</v>
      </c>
    </row>
    <row r="158" spans="2:19" ht="15" x14ac:dyDescent="0.2">
      <c r="B158" s="78">
        <f t="shared" si="14"/>
        <v>49</v>
      </c>
      <c r="C158" s="430">
        <v>5</v>
      </c>
      <c r="D158" s="505" t="s">
        <v>164</v>
      </c>
      <c r="E158" s="494"/>
      <c r="F158" s="494"/>
      <c r="G158" s="494"/>
      <c r="H158" s="495"/>
      <c r="I158" s="35">
        <f>I159+I160+I161+I166+I168+I169+I171</f>
        <v>3668748</v>
      </c>
      <c r="J158" s="35">
        <f>J159+J160+J161+J166+J168+J169+J171</f>
        <v>3472744</v>
      </c>
      <c r="K158" s="218">
        <f t="shared" si="10"/>
        <v>94.657468978518011</v>
      </c>
      <c r="L158" s="276"/>
      <c r="M158" s="282">
        <f>M171</f>
        <v>30967</v>
      </c>
      <c r="N158" s="35">
        <f>N171</f>
        <v>18210</v>
      </c>
      <c r="O158" s="218">
        <f t="shared" si="11"/>
        <v>58.804533858623699</v>
      </c>
      <c r="P158" s="276"/>
      <c r="Q158" s="303">
        <f t="shared" si="15"/>
        <v>3699715</v>
      </c>
      <c r="R158" s="35">
        <f t="shared" si="15"/>
        <v>3490954</v>
      </c>
      <c r="S158" s="312">
        <f t="shared" si="13"/>
        <v>94.357376176273036</v>
      </c>
    </row>
    <row r="159" spans="2:19" x14ac:dyDescent="0.2">
      <c r="B159" s="78">
        <f t="shared" si="14"/>
        <v>50</v>
      </c>
      <c r="C159" s="7"/>
      <c r="D159" s="7"/>
      <c r="E159" s="7"/>
      <c r="F159" s="24" t="s">
        <v>81</v>
      </c>
      <c r="G159" s="7">
        <v>610</v>
      </c>
      <c r="H159" s="7" t="s">
        <v>143</v>
      </c>
      <c r="I159" s="22">
        <f>1980000+8650-34300+650+164000</f>
        <v>2119000</v>
      </c>
      <c r="J159" s="22">
        <v>2028097</v>
      </c>
      <c r="K159" s="218">
        <f t="shared" si="10"/>
        <v>95.710099103350629</v>
      </c>
      <c r="L159" s="278"/>
      <c r="M159" s="284"/>
      <c r="N159" s="22"/>
      <c r="O159" s="218"/>
      <c r="P159" s="278"/>
      <c r="Q159" s="304">
        <f t="shared" si="15"/>
        <v>2119000</v>
      </c>
      <c r="R159" s="22">
        <f t="shared" si="15"/>
        <v>2028097</v>
      </c>
      <c r="S159" s="312">
        <f t="shared" si="13"/>
        <v>95.710099103350629</v>
      </c>
    </row>
    <row r="160" spans="2:19" x14ac:dyDescent="0.2">
      <c r="B160" s="78">
        <f t="shared" si="14"/>
        <v>51</v>
      </c>
      <c r="C160" s="7"/>
      <c r="D160" s="7"/>
      <c r="E160" s="7"/>
      <c r="F160" s="24" t="s">
        <v>81</v>
      </c>
      <c r="G160" s="7">
        <v>620</v>
      </c>
      <c r="H160" s="7" t="s">
        <v>136</v>
      </c>
      <c r="I160" s="22">
        <f>790000+3055-13000+45-100+63500</f>
        <v>843500</v>
      </c>
      <c r="J160" s="22">
        <v>791151</v>
      </c>
      <c r="K160" s="218">
        <f t="shared" si="10"/>
        <v>93.793835210432718</v>
      </c>
      <c r="L160" s="278"/>
      <c r="M160" s="284"/>
      <c r="N160" s="22"/>
      <c r="O160" s="218"/>
      <c r="P160" s="278"/>
      <c r="Q160" s="304">
        <f t="shared" si="15"/>
        <v>843500</v>
      </c>
      <c r="R160" s="22">
        <f t="shared" si="15"/>
        <v>791151</v>
      </c>
      <c r="S160" s="312">
        <f t="shared" si="13"/>
        <v>93.793835210432718</v>
      </c>
    </row>
    <row r="161" spans="2:19" x14ac:dyDescent="0.2">
      <c r="B161" s="78">
        <f t="shared" si="14"/>
        <v>52</v>
      </c>
      <c r="C161" s="7"/>
      <c r="D161" s="7"/>
      <c r="E161" s="7"/>
      <c r="F161" s="24" t="s">
        <v>81</v>
      </c>
      <c r="G161" s="7">
        <v>630</v>
      </c>
      <c r="H161" s="7" t="s">
        <v>133</v>
      </c>
      <c r="I161" s="22">
        <f>SUM(I162:I165)</f>
        <v>548563</v>
      </c>
      <c r="J161" s="22">
        <f>SUM(J162:J165)</f>
        <v>509410</v>
      </c>
      <c r="K161" s="218">
        <f t="shared" si="10"/>
        <v>92.862624712202617</v>
      </c>
      <c r="L161" s="278"/>
      <c r="M161" s="284"/>
      <c r="N161" s="22"/>
      <c r="O161" s="218"/>
      <c r="P161" s="278"/>
      <c r="Q161" s="304">
        <f t="shared" si="15"/>
        <v>548563</v>
      </c>
      <c r="R161" s="22">
        <f t="shared" si="15"/>
        <v>509410</v>
      </c>
      <c r="S161" s="312">
        <f t="shared" si="13"/>
        <v>92.862624712202617</v>
      </c>
    </row>
    <row r="162" spans="2:19" x14ac:dyDescent="0.2">
      <c r="B162" s="78">
        <f t="shared" si="14"/>
        <v>53</v>
      </c>
      <c r="C162" s="3"/>
      <c r="D162" s="3"/>
      <c r="E162" s="3"/>
      <c r="F162" s="25" t="s">
        <v>81</v>
      </c>
      <c r="G162" s="3">
        <v>632</v>
      </c>
      <c r="H162" s="3" t="s">
        <v>146</v>
      </c>
      <c r="I162" s="18">
        <f>177350+4500</f>
        <v>181850</v>
      </c>
      <c r="J162" s="18">
        <v>168338</v>
      </c>
      <c r="K162" s="218">
        <f t="shared" si="10"/>
        <v>92.56970030244706</v>
      </c>
      <c r="L162" s="279"/>
      <c r="M162" s="285"/>
      <c r="N162" s="18"/>
      <c r="O162" s="218"/>
      <c r="P162" s="279"/>
      <c r="Q162" s="305">
        <f t="shared" si="15"/>
        <v>181850</v>
      </c>
      <c r="R162" s="18">
        <f t="shared" si="15"/>
        <v>168338</v>
      </c>
      <c r="S162" s="312">
        <f t="shared" si="13"/>
        <v>92.56970030244706</v>
      </c>
    </row>
    <row r="163" spans="2:19" x14ac:dyDescent="0.2">
      <c r="B163" s="78">
        <f t="shared" si="14"/>
        <v>54</v>
      </c>
      <c r="C163" s="3"/>
      <c r="D163" s="3"/>
      <c r="E163" s="3"/>
      <c r="F163" s="25" t="s">
        <v>81</v>
      </c>
      <c r="G163" s="3">
        <v>633</v>
      </c>
      <c r="H163" s="3" t="s">
        <v>137</v>
      </c>
      <c r="I163" s="18">
        <f>18000+7000-3000+728-15+9000+6000</f>
        <v>37713</v>
      </c>
      <c r="J163" s="18">
        <v>32390</v>
      </c>
      <c r="K163" s="218">
        <f t="shared" si="10"/>
        <v>85.885503672473689</v>
      </c>
      <c r="L163" s="279"/>
      <c r="M163" s="285"/>
      <c r="N163" s="18"/>
      <c r="O163" s="218"/>
      <c r="P163" s="279"/>
      <c r="Q163" s="305">
        <f t="shared" si="15"/>
        <v>37713</v>
      </c>
      <c r="R163" s="18">
        <f t="shared" si="15"/>
        <v>32390</v>
      </c>
      <c r="S163" s="312">
        <f t="shared" si="13"/>
        <v>85.885503672473689</v>
      </c>
    </row>
    <row r="164" spans="2:19" x14ac:dyDescent="0.2">
      <c r="B164" s="78">
        <f t="shared" si="14"/>
        <v>55</v>
      </c>
      <c r="C164" s="3"/>
      <c r="D164" s="3"/>
      <c r="E164" s="3"/>
      <c r="F164" s="25" t="s">
        <v>81</v>
      </c>
      <c r="G164" s="3">
        <v>635</v>
      </c>
      <c r="H164" s="3" t="s">
        <v>145</v>
      </c>
      <c r="I164" s="18">
        <f>50000-11000</f>
        <v>39000</v>
      </c>
      <c r="J164" s="18">
        <v>22702</v>
      </c>
      <c r="K164" s="218">
        <f t="shared" si="10"/>
        <v>58.210256410256413</v>
      </c>
      <c r="L164" s="279"/>
      <c r="M164" s="285"/>
      <c r="N164" s="18"/>
      <c r="O164" s="218"/>
      <c r="P164" s="279"/>
      <c r="Q164" s="305">
        <f t="shared" si="15"/>
        <v>39000</v>
      </c>
      <c r="R164" s="18">
        <f t="shared" si="15"/>
        <v>22702</v>
      </c>
      <c r="S164" s="312">
        <f t="shared" si="13"/>
        <v>58.210256410256413</v>
      </c>
    </row>
    <row r="165" spans="2:19" x14ac:dyDescent="0.2">
      <c r="B165" s="78">
        <f t="shared" si="14"/>
        <v>56</v>
      </c>
      <c r="C165" s="3"/>
      <c r="D165" s="3"/>
      <c r="E165" s="3"/>
      <c r="F165" s="25" t="s">
        <v>81</v>
      </c>
      <c r="G165" s="3">
        <v>637</v>
      </c>
      <c r="H165" s="3" t="s">
        <v>134</v>
      </c>
      <c r="I165" s="18">
        <f>240000+30000+20000</f>
        <v>290000</v>
      </c>
      <c r="J165" s="18">
        <v>285980</v>
      </c>
      <c r="K165" s="218">
        <f t="shared" si="10"/>
        <v>98.613793103448273</v>
      </c>
      <c r="L165" s="279"/>
      <c r="M165" s="285"/>
      <c r="N165" s="18"/>
      <c r="O165" s="218"/>
      <c r="P165" s="279"/>
      <c r="Q165" s="305">
        <f t="shared" si="15"/>
        <v>290000</v>
      </c>
      <c r="R165" s="18">
        <f t="shared" si="15"/>
        <v>285980</v>
      </c>
      <c r="S165" s="312">
        <f t="shared" si="13"/>
        <v>98.613793103448273</v>
      </c>
    </row>
    <row r="166" spans="2:19" x14ac:dyDescent="0.2">
      <c r="B166" s="78">
        <f t="shared" si="14"/>
        <v>57</v>
      </c>
      <c r="C166" s="7"/>
      <c r="D166" s="7"/>
      <c r="E166" s="7"/>
      <c r="F166" s="24" t="s">
        <v>262</v>
      </c>
      <c r="G166" s="7">
        <v>630</v>
      </c>
      <c r="H166" s="7" t="s">
        <v>133</v>
      </c>
      <c r="I166" s="22">
        <f>I167</f>
        <v>15000</v>
      </c>
      <c r="J166" s="22">
        <f>J167</f>
        <v>13956</v>
      </c>
      <c r="K166" s="218">
        <f t="shared" si="10"/>
        <v>93.04</v>
      </c>
      <c r="L166" s="278"/>
      <c r="M166" s="284"/>
      <c r="N166" s="22"/>
      <c r="O166" s="218"/>
      <c r="P166" s="278"/>
      <c r="Q166" s="304">
        <f t="shared" si="15"/>
        <v>15000</v>
      </c>
      <c r="R166" s="22">
        <f t="shared" si="15"/>
        <v>13956</v>
      </c>
      <c r="S166" s="312">
        <f t="shared" si="13"/>
        <v>93.04</v>
      </c>
    </row>
    <row r="167" spans="2:19" x14ac:dyDescent="0.2">
      <c r="B167" s="78">
        <f t="shared" si="14"/>
        <v>58</v>
      </c>
      <c r="C167" s="3"/>
      <c r="D167" s="3"/>
      <c r="E167" s="3"/>
      <c r="F167" s="25" t="s">
        <v>262</v>
      </c>
      <c r="G167" s="3">
        <v>637</v>
      </c>
      <c r="H167" s="3" t="s">
        <v>134</v>
      </c>
      <c r="I167" s="18">
        <v>15000</v>
      </c>
      <c r="J167" s="18">
        <v>13956</v>
      </c>
      <c r="K167" s="218">
        <f t="shared" si="10"/>
        <v>93.04</v>
      </c>
      <c r="L167" s="279"/>
      <c r="M167" s="285"/>
      <c r="N167" s="18"/>
      <c r="O167" s="218"/>
      <c r="P167" s="279"/>
      <c r="Q167" s="305">
        <f t="shared" si="15"/>
        <v>15000</v>
      </c>
      <c r="R167" s="18">
        <f t="shared" si="15"/>
        <v>13956</v>
      </c>
      <c r="S167" s="312">
        <f t="shared" si="13"/>
        <v>93.04</v>
      </c>
    </row>
    <row r="168" spans="2:19" x14ac:dyDescent="0.2">
      <c r="B168" s="78">
        <f t="shared" si="14"/>
        <v>59</v>
      </c>
      <c r="C168" s="7"/>
      <c r="D168" s="7"/>
      <c r="E168" s="7"/>
      <c r="F168" s="24" t="s">
        <v>223</v>
      </c>
      <c r="G168" s="7">
        <v>650</v>
      </c>
      <c r="H168" s="7" t="s">
        <v>353</v>
      </c>
      <c r="I168" s="22">
        <f>230000-3000-65650-3500-1000-20000-1500-1000</f>
        <v>134350</v>
      </c>
      <c r="J168" s="22">
        <v>121794</v>
      </c>
      <c r="K168" s="218">
        <f t="shared" si="10"/>
        <v>90.654261257908459</v>
      </c>
      <c r="L168" s="278"/>
      <c r="M168" s="284"/>
      <c r="N168" s="22"/>
      <c r="O168" s="218"/>
      <c r="P168" s="278"/>
      <c r="Q168" s="304">
        <f t="shared" si="15"/>
        <v>134350</v>
      </c>
      <c r="R168" s="22">
        <f t="shared" si="15"/>
        <v>121794</v>
      </c>
      <c r="S168" s="312">
        <f t="shared" si="13"/>
        <v>90.654261257908459</v>
      </c>
    </row>
    <row r="169" spans="2:19" x14ac:dyDescent="0.2">
      <c r="B169" s="78">
        <f t="shared" si="14"/>
        <v>60</v>
      </c>
      <c r="C169" s="7"/>
      <c r="D169" s="7"/>
      <c r="E169" s="7"/>
      <c r="F169" s="24" t="s">
        <v>81</v>
      </c>
      <c r="G169" s="7">
        <v>640</v>
      </c>
      <c r="H169" s="7" t="s">
        <v>141</v>
      </c>
      <c r="I169" s="22">
        <f>I170</f>
        <v>8335</v>
      </c>
      <c r="J169" s="22">
        <f>J170</f>
        <v>8336</v>
      </c>
      <c r="K169" s="218">
        <f t="shared" si="10"/>
        <v>100.0119976004799</v>
      </c>
      <c r="L169" s="278"/>
      <c r="M169" s="284"/>
      <c r="N169" s="22"/>
      <c r="O169" s="218"/>
      <c r="P169" s="278"/>
      <c r="Q169" s="304">
        <f t="shared" si="15"/>
        <v>8335</v>
      </c>
      <c r="R169" s="22">
        <f t="shared" si="15"/>
        <v>8336</v>
      </c>
      <c r="S169" s="312">
        <f t="shared" si="13"/>
        <v>100.0119976004799</v>
      </c>
    </row>
    <row r="170" spans="2:19" x14ac:dyDescent="0.2">
      <c r="B170" s="78">
        <f t="shared" si="14"/>
        <v>61</v>
      </c>
      <c r="C170" s="3"/>
      <c r="D170" s="3"/>
      <c r="E170" s="3"/>
      <c r="F170" s="25" t="s">
        <v>81</v>
      </c>
      <c r="G170" s="3">
        <v>642</v>
      </c>
      <c r="H170" s="3" t="s">
        <v>142</v>
      </c>
      <c r="I170" s="18">
        <f>20000+1335-13000</f>
        <v>8335</v>
      </c>
      <c r="J170" s="18">
        <v>8336</v>
      </c>
      <c r="K170" s="218">
        <f t="shared" si="10"/>
        <v>100.0119976004799</v>
      </c>
      <c r="L170" s="279"/>
      <c r="M170" s="285"/>
      <c r="N170" s="18"/>
      <c r="O170" s="218"/>
      <c r="P170" s="279"/>
      <c r="Q170" s="305">
        <f t="shared" si="15"/>
        <v>8335</v>
      </c>
      <c r="R170" s="18">
        <f t="shared" si="15"/>
        <v>8336</v>
      </c>
      <c r="S170" s="312">
        <f t="shared" si="13"/>
        <v>100.0119976004799</v>
      </c>
    </row>
    <row r="171" spans="2:19" x14ac:dyDescent="0.2">
      <c r="B171" s="78">
        <f t="shared" si="14"/>
        <v>62</v>
      </c>
      <c r="C171" s="7"/>
      <c r="D171" s="7"/>
      <c r="E171" s="7"/>
      <c r="F171" s="24" t="s">
        <v>81</v>
      </c>
      <c r="G171" s="7">
        <v>710</v>
      </c>
      <c r="H171" s="7" t="s">
        <v>188</v>
      </c>
      <c r="I171" s="22"/>
      <c r="J171" s="22"/>
      <c r="K171" s="218"/>
      <c r="L171" s="278"/>
      <c r="M171" s="284">
        <f>M172+M175</f>
        <v>30967</v>
      </c>
      <c r="N171" s="22">
        <f>N172+N175</f>
        <v>18210</v>
      </c>
      <c r="O171" s="218">
        <f t="shared" si="11"/>
        <v>58.804533858623699</v>
      </c>
      <c r="P171" s="278"/>
      <c r="Q171" s="304">
        <f t="shared" si="15"/>
        <v>30967</v>
      </c>
      <c r="R171" s="22">
        <f t="shared" si="15"/>
        <v>18210</v>
      </c>
      <c r="S171" s="312">
        <f t="shared" si="13"/>
        <v>58.804533858623699</v>
      </c>
    </row>
    <row r="172" spans="2:19" x14ac:dyDescent="0.2">
      <c r="B172" s="78">
        <f t="shared" si="14"/>
        <v>63</v>
      </c>
      <c r="C172" s="7"/>
      <c r="D172" s="179"/>
      <c r="E172" s="7"/>
      <c r="F172" s="25" t="s">
        <v>81</v>
      </c>
      <c r="G172" s="3">
        <v>713</v>
      </c>
      <c r="H172" s="31" t="s">
        <v>234</v>
      </c>
      <c r="I172" s="22"/>
      <c r="J172" s="22"/>
      <c r="K172" s="218"/>
      <c r="L172" s="278"/>
      <c r="M172" s="300">
        <f>M173+M174</f>
        <v>19350</v>
      </c>
      <c r="N172" s="19">
        <f>N173+N174</f>
        <v>6750</v>
      </c>
      <c r="O172" s="218">
        <f t="shared" si="11"/>
        <v>34.883720930232556</v>
      </c>
      <c r="P172" s="279"/>
      <c r="Q172" s="309">
        <f t="shared" si="15"/>
        <v>19350</v>
      </c>
      <c r="R172" s="19">
        <f t="shared" si="15"/>
        <v>6750</v>
      </c>
      <c r="S172" s="312">
        <f t="shared" si="13"/>
        <v>34.883720930232556</v>
      </c>
    </row>
    <row r="173" spans="2:19" x14ac:dyDescent="0.2">
      <c r="B173" s="78">
        <f t="shared" si="14"/>
        <v>64</v>
      </c>
      <c r="C173" s="7"/>
      <c r="D173" s="179"/>
      <c r="E173" s="7"/>
      <c r="F173" s="24"/>
      <c r="G173" s="7"/>
      <c r="H173" s="13" t="s">
        <v>623</v>
      </c>
      <c r="I173" s="18"/>
      <c r="J173" s="18"/>
      <c r="K173" s="218"/>
      <c r="L173" s="279"/>
      <c r="M173" s="286">
        <v>12500</v>
      </c>
      <c r="N173" s="20">
        <v>6750</v>
      </c>
      <c r="O173" s="218">
        <f t="shared" si="11"/>
        <v>54</v>
      </c>
      <c r="P173" s="280"/>
      <c r="Q173" s="305">
        <f t="shared" si="15"/>
        <v>12500</v>
      </c>
      <c r="R173" s="18">
        <f t="shared" si="15"/>
        <v>6750</v>
      </c>
      <c r="S173" s="312">
        <f t="shared" si="13"/>
        <v>54</v>
      </c>
    </row>
    <row r="174" spans="2:19" ht="22.5" x14ac:dyDescent="0.2">
      <c r="B174" s="78">
        <f t="shared" si="14"/>
        <v>65</v>
      </c>
      <c r="C174" s="7"/>
      <c r="D174" s="179"/>
      <c r="E174" s="7"/>
      <c r="F174" s="24"/>
      <c r="G174" s="7"/>
      <c r="H174" s="193" t="s">
        <v>654</v>
      </c>
      <c r="I174" s="18"/>
      <c r="J174" s="18"/>
      <c r="K174" s="218"/>
      <c r="L174" s="279"/>
      <c r="M174" s="301">
        <v>6850</v>
      </c>
      <c r="N174" s="136">
        <v>0</v>
      </c>
      <c r="O174" s="218">
        <f t="shared" ref="O174:O201" si="16">N174/M174*100</f>
        <v>0</v>
      </c>
      <c r="P174" s="296"/>
      <c r="Q174" s="310">
        <f>M174</f>
        <v>6850</v>
      </c>
      <c r="R174" s="49">
        <f>N174</f>
        <v>0</v>
      </c>
      <c r="S174" s="312">
        <f t="shared" ref="S174:S201" si="17">R174/Q174*100</f>
        <v>0</v>
      </c>
    </row>
    <row r="175" spans="2:19" x14ac:dyDescent="0.2">
      <c r="B175" s="78">
        <f t="shared" si="14"/>
        <v>66</v>
      </c>
      <c r="C175" s="4"/>
      <c r="D175" s="12"/>
      <c r="E175" s="4"/>
      <c r="F175" s="25" t="s">
        <v>81</v>
      </c>
      <c r="G175" s="3">
        <v>717</v>
      </c>
      <c r="H175" s="31" t="s">
        <v>198</v>
      </c>
      <c r="I175" s="20"/>
      <c r="J175" s="20"/>
      <c r="K175" s="218"/>
      <c r="L175" s="280"/>
      <c r="M175" s="285">
        <f>M176</f>
        <v>11617</v>
      </c>
      <c r="N175" s="18">
        <f>N176</f>
        <v>11460</v>
      </c>
      <c r="O175" s="218">
        <f t="shared" si="16"/>
        <v>98.648532323319273</v>
      </c>
      <c r="P175" s="279"/>
      <c r="Q175" s="307">
        <f t="shared" si="15"/>
        <v>11617</v>
      </c>
      <c r="R175" s="20">
        <f t="shared" si="15"/>
        <v>11460</v>
      </c>
      <c r="S175" s="312">
        <f t="shared" si="17"/>
        <v>98.648532323319273</v>
      </c>
    </row>
    <row r="176" spans="2:19" x14ac:dyDescent="0.2">
      <c r="B176" s="78">
        <f t="shared" si="14"/>
        <v>67</v>
      </c>
      <c r="C176" s="4"/>
      <c r="D176" s="12"/>
      <c r="E176" s="4"/>
      <c r="F176" s="26"/>
      <c r="G176" s="4"/>
      <c r="H176" s="13" t="s">
        <v>370</v>
      </c>
      <c r="I176" s="20"/>
      <c r="J176" s="20"/>
      <c r="K176" s="218"/>
      <c r="L176" s="280"/>
      <c r="M176" s="286">
        <f>12500-3383+2500</f>
        <v>11617</v>
      </c>
      <c r="N176" s="20">
        <v>11460</v>
      </c>
      <c r="O176" s="218">
        <f t="shared" si="16"/>
        <v>98.648532323319273</v>
      </c>
      <c r="P176" s="280"/>
      <c r="Q176" s="307">
        <f t="shared" si="15"/>
        <v>11617</v>
      </c>
      <c r="R176" s="20">
        <f t="shared" si="15"/>
        <v>11460</v>
      </c>
      <c r="S176" s="312">
        <f t="shared" si="17"/>
        <v>98.648532323319273</v>
      </c>
    </row>
    <row r="177" spans="2:19" ht="15" x14ac:dyDescent="0.2">
      <c r="B177" s="78">
        <f t="shared" ref="B177:B201" si="18">B176+1</f>
        <v>68</v>
      </c>
      <c r="C177" s="430">
        <v>6</v>
      </c>
      <c r="D177" s="505" t="s">
        <v>285</v>
      </c>
      <c r="E177" s="494"/>
      <c r="F177" s="494"/>
      <c r="G177" s="494"/>
      <c r="H177" s="495"/>
      <c r="I177" s="35">
        <f>I178+I180</f>
        <v>10500</v>
      </c>
      <c r="J177" s="35">
        <f>J178+J180</f>
        <v>10140</v>
      </c>
      <c r="K177" s="218">
        <f t="shared" ref="K177:K198" si="19">J177/I177*100</f>
        <v>96.571428571428569</v>
      </c>
      <c r="L177" s="276"/>
      <c r="M177" s="282">
        <v>0</v>
      </c>
      <c r="N177" s="35"/>
      <c r="O177" s="218"/>
      <c r="P177" s="276"/>
      <c r="Q177" s="303">
        <f t="shared" si="15"/>
        <v>10500</v>
      </c>
      <c r="R177" s="35">
        <f t="shared" si="15"/>
        <v>10140</v>
      </c>
      <c r="S177" s="312">
        <f t="shared" si="17"/>
        <v>96.571428571428569</v>
      </c>
    </row>
    <row r="178" spans="2:19" x14ac:dyDescent="0.2">
      <c r="B178" s="78">
        <f t="shared" si="18"/>
        <v>69</v>
      </c>
      <c r="C178" s="7"/>
      <c r="D178" s="7"/>
      <c r="E178" s="7"/>
      <c r="F178" s="24" t="s">
        <v>81</v>
      </c>
      <c r="G178" s="7">
        <v>630</v>
      </c>
      <c r="H178" s="7" t="s">
        <v>133</v>
      </c>
      <c r="I178" s="22">
        <f>I179</f>
        <v>3800</v>
      </c>
      <c r="J178" s="22">
        <f>J179</f>
        <v>3463</v>
      </c>
      <c r="K178" s="218">
        <f t="shared" si="19"/>
        <v>91.131578947368425</v>
      </c>
      <c r="L178" s="278"/>
      <c r="M178" s="284"/>
      <c r="N178" s="22"/>
      <c r="O178" s="218"/>
      <c r="P178" s="278"/>
      <c r="Q178" s="304">
        <f t="shared" si="15"/>
        <v>3800</v>
      </c>
      <c r="R178" s="22">
        <f t="shared" si="15"/>
        <v>3463</v>
      </c>
      <c r="S178" s="312">
        <f t="shared" si="17"/>
        <v>91.131578947368425</v>
      </c>
    </row>
    <row r="179" spans="2:19" x14ac:dyDescent="0.2">
      <c r="B179" s="78">
        <f t="shared" si="18"/>
        <v>70</v>
      </c>
      <c r="C179" s="3"/>
      <c r="D179" s="3"/>
      <c r="E179" s="3"/>
      <c r="F179" s="25" t="s">
        <v>81</v>
      </c>
      <c r="G179" s="3">
        <v>631</v>
      </c>
      <c r="H179" s="3" t="s">
        <v>139</v>
      </c>
      <c r="I179" s="18">
        <f>3000+800</f>
        <v>3800</v>
      </c>
      <c r="J179" s="18">
        <v>3463</v>
      </c>
      <c r="K179" s="218">
        <f t="shared" si="19"/>
        <v>91.131578947368425</v>
      </c>
      <c r="L179" s="279"/>
      <c r="M179" s="285"/>
      <c r="N179" s="18"/>
      <c r="O179" s="218"/>
      <c r="P179" s="279"/>
      <c r="Q179" s="305">
        <f t="shared" si="15"/>
        <v>3800</v>
      </c>
      <c r="R179" s="18">
        <f t="shared" si="15"/>
        <v>3463</v>
      </c>
      <c r="S179" s="312">
        <f t="shared" si="17"/>
        <v>91.131578947368425</v>
      </c>
    </row>
    <row r="180" spans="2:19" x14ac:dyDescent="0.2">
      <c r="B180" s="78">
        <f t="shared" si="18"/>
        <v>71</v>
      </c>
      <c r="C180" s="7"/>
      <c r="D180" s="7"/>
      <c r="E180" s="7"/>
      <c r="F180" s="24" t="s">
        <v>170</v>
      </c>
      <c r="G180" s="7">
        <v>630</v>
      </c>
      <c r="H180" s="7" t="s">
        <v>133</v>
      </c>
      <c r="I180" s="22">
        <f>I181</f>
        <v>6700</v>
      </c>
      <c r="J180" s="22">
        <f>J181</f>
        <v>6677</v>
      </c>
      <c r="K180" s="218">
        <f t="shared" si="19"/>
        <v>99.656716417910445</v>
      </c>
      <c r="L180" s="278"/>
      <c r="M180" s="284"/>
      <c r="N180" s="22"/>
      <c r="O180" s="218"/>
      <c r="P180" s="278"/>
      <c r="Q180" s="304">
        <f t="shared" si="15"/>
        <v>6700</v>
      </c>
      <c r="R180" s="22">
        <f t="shared" si="15"/>
        <v>6677</v>
      </c>
      <c r="S180" s="312">
        <f t="shared" si="17"/>
        <v>99.656716417910445</v>
      </c>
    </row>
    <row r="181" spans="2:19" x14ac:dyDescent="0.2">
      <c r="B181" s="78">
        <f t="shared" si="18"/>
        <v>72</v>
      </c>
      <c r="C181" s="3"/>
      <c r="D181" s="3"/>
      <c r="E181" s="3"/>
      <c r="F181" s="25" t="s">
        <v>170</v>
      </c>
      <c r="G181" s="3">
        <v>637</v>
      </c>
      <c r="H181" s="3" t="s">
        <v>134</v>
      </c>
      <c r="I181" s="18">
        <f>7500-800</f>
        <v>6700</v>
      </c>
      <c r="J181" s="18">
        <v>6677</v>
      </c>
      <c r="K181" s="218">
        <f t="shared" si="19"/>
        <v>99.656716417910445</v>
      </c>
      <c r="L181" s="279"/>
      <c r="M181" s="285"/>
      <c r="N181" s="18"/>
      <c r="O181" s="218"/>
      <c r="P181" s="279"/>
      <c r="Q181" s="305">
        <f t="shared" si="15"/>
        <v>6700</v>
      </c>
      <c r="R181" s="18">
        <f t="shared" si="15"/>
        <v>6677</v>
      </c>
      <c r="S181" s="312">
        <f t="shared" si="17"/>
        <v>99.656716417910445</v>
      </c>
    </row>
    <row r="182" spans="2:19" ht="15" x14ac:dyDescent="0.2">
      <c r="B182" s="78">
        <f t="shared" si="18"/>
        <v>73</v>
      </c>
      <c r="C182" s="430">
        <v>7</v>
      </c>
      <c r="D182" s="505" t="s">
        <v>147</v>
      </c>
      <c r="E182" s="494"/>
      <c r="F182" s="494"/>
      <c r="G182" s="494"/>
      <c r="H182" s="495"/>
      <c r="I182" s="35">
        <f>I183+I189</f>
        <v>175800</v>
      </c>
      <c r="J182" s="35">
        <f>J183+J189</f>
        <v>167610</v>
      </c>
      <c r="K182" s="218">
        <f t="shared" si="19"/>
        <v>95.341296928327651</v>
      </c>
      <c r="L182" s="276"/>
      <c r="M182" s="282">
        <f>M189</f>
        <v>123102</v>
      </c>
      <c r="N182" s="35">
        <f>N189</f>
        <v>121912</v>
      </c>
      <c r="O182" s="218">
        <f t="shared" si="16"/>
        <v>99.033321960650525</v>
      </c>
      <c r="P182" s="276"/>
      <c r="Q182" s="303">
        <f t="shared" ref="Q182:R201" si="20">I182+M182</f>
        <v>298902</v>
      </c>
      <c r="R182" s="35">
        <f t="shared" si="20"/>
        <v>289522</v>
      </c>
      <c r="S182" s="312">
        <f t="shared" si="17"/>
        <v>96.861847695900323</v>
      </c>
    </row>
    <row r="183" spans="2:19" x14ac:dyDescent="0.2">
      <c r="B183" s="78">
        <f t="shared" si="18"/>
        <v>74</v>
      </c>
      <c r="C183" s="7"/>
      <c r="D183" s="7"/>
      <c r="E183" s="7"/>
      <c r="F183" s="24" t="s">
        <v>81</v>
      </c>
      <c r="G183" s="7">
        <v>630</v>
      </c>
      <c r="H183" s="7" t="s">
        <v>133</v>
      </c>
      <c r="I183" s="22">
        <f>SUM(I184:I188)</f>
        <v>175800</v>
      </c>
      <c r="J183" s="22">
        <f>SUM(J184:J188)</f>
        <v>167610</v>
      </c>
      <c r="K183" s="218">
        <f t="shared" si="19"/>
        <v>95.341296928327651</v>
      </c>
      <c r="L183" s="278"/>
      <c r="M183" s="284"/>
      <c r="N183" s="22"/>
      <c r="O183" s="218"/>
      <c r="P183" s="278"/>
      <c r="Q183" s="304">
        <f t="shared" si="20"/>
        <v>175800</v>
      </c>
      <c r="R183" s="22">
        <f t="shared" si="20"/>
        <v>167610</v>
      </c>
      <c r="S183" s="312">
        <f t="shared" si="17"/>
        <v>95.341296928327651</v>
      </c>
    </row>
    <row r="184" spans="2:19" x14ac:dyDescent="0.2">
      <c r="B184" s="78">
        <f t="shared" si="18"/>
        <v>75</v>
      </c>
      <c r="C184" s="3"/>
      <c r="D184" s="3"/>
      <c r="E184" s="3"/>
      <c r="F184" s="25" t="s">
        <v>81</v>
      </c>
      <c r="G184" s="3">
        <v>632</v>
      </c>
      <c r="H184" s="3" t="s">
        <v>146</v>
      </c>
      <c r="I184" s="18">
        <v>3700</v>
      </c>
      <c r="J184" s="18">
        <v>3671</v>
      </c>
      <c r="K184" s="218">
        <f t="shared" si="19"/>
        <v>99.21621621621621</v>
      </c>
      <c r="L184" s="279"/>
      <c r="M184" s="285"/>
      <c r="N184" s="18"/>
      <c r="O184" s="218"/>
      <c r="P184" s="279"/>
      <c r="Q184" s="305">
        <f t="shared" si="20"/>
        <v>3700</v>
      </c>
      <c r="R184" s="18">
        <f t="shared" si="20"/>
        <v>3671</v>
      </c>
      <c r="S184" s="312">
        <f t="shared" si="17"/>
        <v>99.21621621621621</v>
      </c>
    </row>
    <row r="185" spans="2:19" x14ac:dyDescent="0.2">
      <c r="B185" s="78">
        <f t="shared" si="18"/>
        <v>76</v>
      </c>
      <c r="C185" s="3"/>
      <c r="D185" s="3"/>
      <c r="E185" s="3"/>
      <c r="F185" s="25" t="s">
        <v>81</v>
      </c>
      <c r="G185" s="3">
        <v>633</v>
      </c>
      <c r="H185" s="3" t="s">
        <v>137</v>
      </c>
      <c r="I185" s="18">
        <v>19000</v>
      </c>
      <c r="J185" s="18">
        <v>17681</v>
      </c>
      <c r="K185" s="218">
        <f t="shared" si="19"/>
        <v>93.057894736842101</v>
      </c>
      <c r="L185" s="279"/>
      <c r="M185" s="285"/>
      <c r="N185" s="18"/>
      <c r="O185" s="218"/>
      <c r="P185" s="279"/>
      <c r="Q185" s="305">
        <f t="shared" si="20"/>
        <v>19000</v>
      </c>
      <c r="R185" s="18">
        <f t="shared" si="20"/>
        <v>17681</v>
      </c>
      <c r="S185" s="312">
        <f t="shared" si="17"/>
        <v>93.057894736842101</v>
      </c>
    </row>
    <row r="186" spans="2:19" x14ac:dyDescent="0.2">
      <c r="B186" s="78">
        <f t="shared" si="18"/>
        <v>77</v>
      </c>
      <c r="C186" s="3"/>
      <c r="D186" s="3"/>
      <c r="E186" s="3"/>
      <c r="F186" s="25" t="s">
        <v>81</v>
      </c>
      <c r="G186" s="3">
        <v>635</v>
      </c>
      <c r="H186" s="3" t="s">
        <v>145</v>
      </c>
      <c r="I186" s="18">
        <f>122200-12000+6900</f>
        <v>117100</v>
      </c>
      <c r="J186" s="18">
        <v>114106</v>
      </c>
      <c r="K186" s="218">
        <f t="shared" si="19"/>
        <v>97.443210930828343</v>
      </c>
      <c r="L186" s="279"/>
      <c r="M186" s="285"/>
      <c r="N186" s="18"/>
      <c r="O186" s="218"/>
      <c r="P186" s="279"/>
      <c r="Q186" s="305">
        <f t="shared" si="20"/>
        <v>117100</v>
      </c>
      <c r="R186" s="18">
        <f t="shared" si="20"/>
        <v>114106</v>
      </c>
      <c r="S186" s="312">
        <f t="shared" si="17"/>
        <v>97.443210930828343</v>
      </c>
    </row>
    <row r="187" spans="2:19" x14ac:dyDescent="0.2">
      <c r="B187" s="78">
        <f t="shared" si="18"/>
        <v>78</v>
      </c>
      <c r="C187" s="3"/>
      <c r="D187" s="3"/>
      <c r="E187" s="3"/>
      <c r="F187" s="25" t="s">
        <v>81</v>
      </c>
      <c r="G187" s="3">
        <v>636</v>
      </c>
      <c r="H187" s="3" t="s">
        <v>138</v>
      </c>
      <c r="I187" s="18">
        <v>18000</v>
      </c>
      <c r="J187" s="18">
        <v>17989</v>
      </c>
      <c r="K187" s="218">
        <f t="shared" si="19"/>
        <v>99.938888888888883</v>
      </c>
      <c r="L187" s="279"/>
      <c r="M187" s="285"/>
      <c r="N187" s="18"/>
      <c r="O187" s="218"/>
      <c r="P187" s="279"/>
      <c r="Q187" s="305">
        <f t="shared" si="20"/>
        <v>18000</v>
      </c>
      <c r="R187" s="18">
        <f t="shared" si="20"/>
        <v>17989</v>
      </c>
      <c r="S187" s="312">
        <f t="shared" si="17"/>
        <v>99.938888888888883</v>
      </c>
    </row>
    <row r="188" spans="2:19" x14ac:dyDescent="0.2">
      <c r="B188" s="78">
        <f t="shared" si="18"/>
        <v>79</v>
      </c>
      <c r="C188" s="3"/>
      <c r="D188" s="3"/>
      <c r="E188" s="3"/>
      <c r="F188" s="25" t="s">
        <v>81</v>
      </c>
      <c r="G188" s="3">
        <v>637</v>
      </c>
      <c r="H188" s="3" t="s">
        <v>134</v>
      </c>
      <c r="I188" s="18">
        <f>6000+12000</f>
        <v>18000</v>
      </c>
      <c r="J188" s="18">
        <v>14163</v>
      </c>
      <c r="K188" s="218">
        <f t="shared" si="19"/>
        <v>78.683333333333337</v>
      </c>
      <c r="L188" s="279"/>
      <c r="M188" s="285"/>
      <c r="N188" s="18"/>
      <c r="O188" s="218"/>
      <c r="P188" s="279"/>
      <c r="Q188" s="305">
        <f t="shared" si="20"/>
        <v>18000</v>
      </c>
      <c r="R188" s="18">
        <f t="shared" si="20"/>
        <v>14163</v>
      </c>
      <c r="S188" s="312">
        <f t="shared" si="17"/>
        <v>78.683333333333337</v>
      </c>
    </row>
    <row r="189" spans="2:19" x14ac:dyDescent="0.2">
      <c r="B189" s="78">
        <f t="shared" si="18"/>
        <v>80</v>
      </c>
      <c r="C189" s="7"/>
      <c r="D189" s="7"/>
      <c r="E189" s="7"/>
      <c r="F189" s="24" t="s">
        <v>81</v>
      </c>
      <c r="G189" s="7">
        <v>710</v>
      </c>
      <c r="H189" s="7" t="s">
        <v>188</v>
      </c>
      <c r="I189" s="22"/>
      <c r="J189" s="22"/>
      <c r="K189" s="218"/>
      <c r="L189" s="278"/>
      <c r="M189" s="284">
        <f>M190+M193</f>
        <v>123102</v>
      </c>
      <c r="N189" s="22">
        <f>N190+N193</f>
        <v>121912</v>
      </c>
      <c r="O189" s="218">
        <f t="shared" si="16"/>
        <v>99.033321960650525</v>
      </c>
      <c r="P189" s="278"/>
      <c r="Q189" s="304">
        <f t="shared" si="20"/>
        <v>123102</v>
      </c>
      <c r="R189" s="22">
        <f t="shared" si="20"/>
        <v>121912</v>
      </c>
      <c r="S189" s="312">
        <f t="shared" si="17"/>
        <v>99.033321960650525</v>
      </c>
    </row>
    <row r="190" spans="2:19" x14ac:dyDescent="0.2">
      <c r="B190" s="78">
        <f t="shared" si="18"/>
        <v>81</v>
      </c>
      <c r="C190" s="3"/>
      <c r="D190" s="3"/>
      <c r="E190" s="3"/>
      <c r="F190" s="25" t="s">
        <v>81</v>
      </c>
      <c r="G190" s="3">
        <v>711</v>
      </c>
      <c r="H190" s="3" t="s">
        <v>224</v>
      </c>
      <c r="I190" s="18"/>
      <c r="J190" s="18"/>
      <c r="K190" s="218"/>
      <c r="L190" s="279"/>
      <c r="M190" s="285">
        <f>M191+M192</f>
        <v>55002</v>
      </c>
      <c r="N190" s="18">
        <f>N191+N192</f>
        <v>53842</v>
      </c>
      <c r="O190" s="218">
        <f t="shared" si="16"/>
        <v>97.890985782335179</v>
      </c>
      <c r="P190" s="279"/>
      <c r="Q190" s="305">
        <f t="shared" si="20"/>
        <v>55002</v>
      </c>
      <c r="R190" s="18">
        <f t="shared" si="20"/>
        <v>53842</v>
      </c>
      <c r="S190" s="312">
        <f t="shared" si="17"/>
        <v>97.890985782335179</v>
      </c>
    </row>
    <row r="191" spans="2:19" x14ac:dyDescent="0.2">
      <c r="B191" s="78">
        <f t="shared" si="18"/>
        <v>82</v>
      </c>
      <c r="C191" s="4"/>
      <c r="D191" s="4"/>
      <c r="E191" s="4"/>
      <c r="F191" s="30"/>
      <c r="G191" s="4"/>
      <c r="H191" s="4" t="s">
        <v>360</v>
      </c>
      <c r="I191" s="20"/>
      <c r="J191" s="20"/>
      <c r="K191" s="218"/>
      <c r="L191" s="280"/>
      <c r="M191" s="286">
        <f>12500+22502+7000</f>
        <v>42002</v>
      </c>
      <c r="N191" s="20">
        <v>40842</v>
      </c>
      <c r="O191" s="218">
        <f t="shared" si="16"/>
        <v>97.238226751107092</v>
      </c>
      <c r="P191" s="280"/>
      <c r="Q191" s="307">
        <f t="shared" si="20"/>
        <v>42002</v>
      </c>
      <c r="R191" s="20">
        <f t="shared" si="20"/>
        <v>40842</v>
      </c>
      <c r="S191" s="312">
        <f t="shared" si="17"/>
        <v>97.238226751107092</v>
      </c>
    </row>
    <row r="192" spans="2:19" x14ac:dyDescent="0.2">
      <c r="B192" s="78">
        <f t="shared" si="18"/>
        <v>83</v>
      </c>
      <c r="C192" s="4"/>
      <c r="D192" s="4"/>
      <c r="E192" s="4"/>
      <c r="F192" s="30"/>
      <c r="G192" s="4"/>
      <c r="H192" s="4" t="s">
        <v>515</v>
      </c>
      <c r="I192" s="20"/>
      <c r="J192" s="20"/>
      <c r="K192" s="218"/>
      <c r="L192" s="280"/>
      <c r="M192" s="286">
        <v>13000</v>
      </c>
      <c r="N192" s="20">
        <v>13000</v>
      </c>
      <c r="O192" s="218">
        <f t="shared" si="16"/>
        <v>100</v>
      </c>
      <c r="P192" s="280"/>
      <c r="Q192" s="307">
        <f>I192+M192</f>
        <v>13000</v>
      </c>
      <c r="R192" s="20">
        <f>J192+N192</f>
        <v>13000</v>
      </c>
      <c r="S192" s="312">
        <f t="shared" si="17"/>
        <v>100</v>
      </c>
    </row>
    <row r="193" spans="2:19" x14ac:dyDescent="0.2">
      <c r="B193" s="78">
        <f t="shared" si="18"/>
        <v>84</v>
      </c>
      <c r="C193" s="3"/>
      <c r="D193" s="3"/>
      <c r="E193" s="3"/>
      <c r="F193" s="25" t="s">
        <v>81</v>
      </c>
      <c r="G193" s="3">
        <v>713</v>
      </c>
      <c r="H193" s="31" t="s">
        <v>234</v>
      </c>
      <c r="I193" s="18"/>
      <c r="J193" s="18"/>
      <c r="K193" s="218"/>
      <c r="L193" s="279"/>
      <c r="M193" s="285">
        <f>M194</f>
        <v>68100</v>
      </c>
      <c r="N193" s="18">
        <f>N194</f>
        <v>68070</v>
      </c>
      <c r="O193" s="218">
        <f t="shared" si="16"/>
        <v>99.955947136563879</v>
      </c>
      <c r="P193" s="279"/>
      <c r="Q193" s="305">
        <f t="shared" si="20"/>
        <v>68100</v>
      </c>
      <c r="R193" s="18">
        <f t="shared" si="20"/>
        <v>68070</v>
      </c>
      <c r="S193" s="312">
        <f t="shared" si="17"/>
        <v>99.955947136563879</v>
      </c>
    </row>
    <row r="194" spans="2:19" x14ac:dyDescent="0.2">
      <c r="B194" s="78">
        <f t="shared" si="18"/>
        <v>85</v>
      </c>
      <c r="C194" s="4"/>
      <c r="D194" s="4"/>
      <c r="E194" s="4"/>
      <c r="F194" s="30"/>
      <c r="G194" s="4"/>
      <c r="H194" s="13" t="s">
        <v>359</v>
      </c>
      <c r="I194" s="20"/>
      <c r="J194" s="20"/>
      <c r="K194" s="218"/>
      <c r="L194" s="280"/>
      <c r="M194" s="286">
        <f>50000+25000-6900</f>
        <v>68100</v>
      </c>
      <c r="N194" s="20">
        <v>68070</v>
      </c>
      <c r="O194" s="218">
        <f t="shared" si="16"/>
        <v>99.955947136563879</v>
      </c>
      <c r="P194" s="280"/>
      <c r="Q194" s="307">
        <f t="shared" si="20"/>
        <v>68100</v>
      </c>
      <c r="R194" s="20">
        <f t="shared" si="20"/>
        <v>68070</v>
      </c>
      <c r="S194" s="312">
        <f t="shared" si="17"/>
        <v>99.955947136563879</v>
      </c>
    </row>
    <row r="195" spans="2:19" ht="15" x14ac:dyDescent="0.2">
      <c r="B195" s="78">
        <f t="shared" si="18"/>
        <v>86</v>
      </c>
      <c r="C195" s="430">
        <v>8</v>
      </c>
      <c r="D195" s="505" t="s">
        <v>264</v>
      </c>
      <c r="E195" s="494"/>
      <c r="F195" s="494"/>
      <c r="G195" s="494"/>
      <c r="H195" s="495"/>
      <c r="I195" s="35">
        <f>I196</f>
        <v>36500</v>
      </c>
      <c r="J195" s="35">
        <f>J196</f>
        <v>36120</v>
      </c>
      <c r="K195" s="218">
        <f t="shared" si="19"/>
        <v>98.958904109589042</v>
      </c>
      <c r="L195" s="276"/>
      <c r="M195" s="282">
        <f>M199</f>
        <v>13500</v>
      </c>
      <c r="N195" s="35">
        <f>N199</f>
        <v>13500</v>
      </c>
      <c r="O195" s="218">
        <f t="shared" si="16"/>
        <v>100</v>
      </c>
      <c r="P195" s="276"/>
      <c r="Q195" s="303">
        <f t="shared" si="20"/>
        <v>50000</v>
      </c>
      <c r="R195" s="35">
        <f t="shared" si="20"/>
        <v>49620</v>
      </c>
      <c r="S195" s="312">
        <f t="shared" si="17"/>
        <v>99.24</v>
      </c>
    </row>
    <row r="196" spans="2:19" x14ac:dyDescent="0.2">
      <c r="B196" s="78">
        <f t="shared" si="18"/>
        <v>87</v>
      </c>
      <c r="C196" s="7"/>
      <c r="D196" s="7"/>
      <c r="E196" s="7"/>
      <c r="F196" s="24" t="s">
        <v>81</v>
      </c>
      <c r="G196" s="7">
        <v>630</v>
      </c>
      <c r="H196" s="7" t="s">
        <v>133</v>
      </c>
      <c r="I196" s="22">
        <f>I197+I198</f>
        <v>36500</v>
      </c>
      <c r="J196" s="22">
        <f>J197+J198</f>
        <v>36120</v>
      </c>
      <c r="K196" s="218">
        <f t="shared" si="19"/>
        <v>98.958904109589042</v>
      </c>
      <c r="L196" s="278"/>
      <c r="M196" s="284"/>
      <c r="N196" s="22"/>
      <c r="O196" s="218"/>
      <c r="P196" s="278"/>
      <c r="Q196" s="304">
        <f t="shared" si="20"/>
        <v>36500</v>
      </c>
      <c r="R196" s="22">
        <f t="shared" si="20"/>
        <v>36120</v>
      </c>
      <c r="S196" s="312">
        <f t="shared" si="17"/>
        <v>98.958904109589042</v>
      </c>
    </row>
    <row r="197" spans="2:19" x14ac:dyDescent="0.2">
      <c r="B197" s="78">
        <f t="shared" si="18"/>
        <v>88</v>
      </c>
      <c r="C197" s="3"/>
      <c r="D197" s="3"/>
      <c r="E197" s="3"/>
      <c r="F197" s="25" t="s">
        <v>81</v>
      </c>
      <c r="G197" s="3">
        <v>634</v>
      </c>
      <c r="H197" s="3" t="s">
        <v>144</v>
      </c>
      <c r="I197" s="18">
        <f>35160+500</f>
        <v>35660</v>
      </c>
      <c r="J197" s="18">
        <v>35325</v>
      </c>
      <c r="K197" s="218">
        <f t="shared" si="19"/>
        <v>99.060572069545699</v>
      </c>
      <c r="L197" s="279"/>
      <c r="M197" s="285"/>
      <c r="N197" s="18"/>
      <c r="O197" s="218"/>
      <c r="P197" s="279"/>
      <c r="Q197" s="305">
        <f t="shared" si="20"/>
        <v>35660</v>
      </c>
      <c r="R197" s="18">
        <f t="shared" si="20"/>
        <v>35325</v>
      </c>
      <c r="S197" s="312">
        <f t="shared" si="17"/>
        <v>99.060572069545699</v>
      </c>
    </row>
    <row r="198" spans="2:19" x14ac:dyDescent="0.2">
      <c r="B198" s="78">
        <f t="shared" si="18"/>
        <v>89</v>
      </c>
      <c r="C198" s="3"/>
      <c r="D198" s="3"/>
      <c r="E198" s="3"/>
      <c r="F198" s="25" t="s">
        <v>81</v>
      </c>
      <c r="G198" s="3">
        <v>637</v>
      </c>
      <c r="H198" s="3" t="s">
        <v>134</v>
      </c>
      <c r="I198" s="18">
        <v>840</v>
      </c>
      <c r="J198" s="18">
        <v>795</v>
      </c>
      <c r="K198" s="218">
        <f t="shared" si="19"/>
        <v>94.642857142857139</v>
      </c>
      <c r="L198" s="279"/>
      <c r="M198" s="285"/>
      <c r="N198" s="18"/>
      <c r="O198" s="218"/>
      <c r="P198" s="279"/>
      <c r="Q198" s="305">
        <f t="shared" si="20"/>
        <v>840</v>
      </c>
      <c r="R198" s="18">
        <f t="shared" si="20"/>
        <v>795</v>
      </c>
      <c r="S198" s="312">
        <f t="shared" si="17"/>
        <v>94.642857142857139</v>
      </c>
    </row>
    <row r="199" spans="2:19" x14ac:dyDescent="0.2">
      <c r="B199" s="78">
        <f t="shared" si="18"/>
        <v>90</v>
      </c>
      <c r="C199" s="7"/>
      <c r="D199" s="7"/>
      <c r="E199" s="7"/>
      <c r="F199" s="24" t="s">
        <v>81</v>
      </c>
      <c r="G199" s="7">
        <v>710</v>
      </c>
      <c r="H199" s="7" t="s">
        <v>188</v>
      </c>
      <c r="I199" s="22"/>
      <c r="J199" s="22"/>
      <c r="K199" s="218"/>
      <c r="L199" s="278"/>
      <c r="M199" s="284">
        <f>M200</f>
        <v>13500</v>
      </c>
      <c r="N199" s="22">
        <f>N200</f>
        <v>13500</v>
      </c>
      <c r="O199" s="218">
        <f t="shared" si="16"/>
        <v>100</v>
      </c>
      <c r="P199" s="278"/>
      <c r="Q199" s="304">
        <f t="shared" si="20"/>
        <v>13500</v>
      </c>
      <c r="R199" s="22">
        <f t="shared" si="20"/>
        <v>13500</v>
      </c>
      <c r="S199" s="312">
        <f t="shared" si="17"/>
        <v>100</v>
      </c>
    </row>
    <row r="200" spans="2:19" x14ac:dyDescent="0.2">
      <c r="B200" s="78">
        <f t="shared" si="18"/>
        <v>91</v>
      </c>
      <c r="C200" s="3"/>
      <c r="D200" s="3"/>
      <c r="E200" s="3"/>
      <c r="F200" s="25" t="s">
        <v>81</v>
      </c>
      <c r="G200" s="3">
        <v>714</v>
      </c>
      <c r="H200" s="3" t="s">
        <v>189</v>
      </c>
      <c r="I200" s="18"/>
      <c r="J200" s="18"/>
      <c r="K200" s="218"/>
      <c r="L200" s="279"/>
      <c r="M200" s="285">
        <f>M201</f>
        <v>13500</v>
      </c>
      <c r="N200" s="18">
        <f>N201</f>
        <v>13500</v>
      </c>
      <c r="O200" s="218">
        <f t="shared" si="16"/>
        <v>100</v>
      </c>
      <c r="P200" s="279"/>
      <c r="Q200" s="305">
        <f t="shared" si="20"/>
        <v>13500</v>
      </c>
      <c r="R200" s="18">
        <f t="shared" si="20"/>
        <v>13500</v>
      </c>
      <c r="S200" s="312">
        <f t="shared" si="17"/>
        <v>100</v>
      </c>
    </row>
    <row r="201" spans="2:19" ht="13.5" thickBot="1" x14ac:dyDescent="0.25">
      <c r="B201" s="83">
        <f t="shared" si="18"/>
        <v>92</v>
      </c>
      <c r="C201" s="89"/>
      <c r="D201" s="89"/>
      <c r="E201" s="89"/>
      <c r="F201" s="94"/>
      <c r="G201" s="89"/>
      <c r="H201" s="89" t="s">
        <v>358</v>
      </c>
      <c r="I201" s="92"/>
      <c r="J201" s="92"/>
      <c r="K201" s="269"/>
      <c r="L201" s="280"/>
      <c r="M201" s="290">
        <v>13500</v>
      </c>
      <c r="N201" s="92">
        <v>13500</v>
      </c>
      <c r="O201" s="269">
        <f t="shared" si="16"/>
        <v>100</v>
      </c>
      <c r="P201" s="280"/>
      <c r="Q201" s="311">
        <f t="shared" si="20"/>
        <v>13500</v>
      </c>
      <c r="R201" s="92">
        <f t="shared" si="20"/>
        <v>13500</v>
      </c>
      <c r="S201" s="313">
        <f t="shared" si="17"/>
        <v>100</v>
      </c>
    </row>
    <row r="207" spans="2:19" ht="27.75" thickBot="1" x14ac:dyDescent="0.4">
      <c r="B207" s="515" t="s">
        <v>25</v>
      </c>
      <c r="C207" s="516"/>
      <c r="D207" s="516"/>
      <c r="E207" s="516"/>
      <c r="F207" s="516"/>
      <c r="G207" s="516"/>
      <c r="H207" s="516"/>
      <c r="I207" s="516"/>
      <c r="J207" s="516"/>
      <c r="K207" s="516"/>
      <c r="L207" s="516"/>
      <c r="M207" s="516"/>
      <c r="N207" s="516"/>
      <c r="O207" s="516"/>
      <c r="P207" s="516"/>
      <c r="Q207" s="516"/>
    </row>
    <row r="208" spans="2:19" ht="13.5" thickBot="1" x14ac:dyDescent="0.25">
      <c r="B208" s="531" t="s">
        <v>352</v>
      </c>
      <c r="C208" s="532"/>
      <c r="D208" s="532"/>
      <c r="E208" s="532"/>
      <c r="F208" s="532"/>
      <c r="G208" s="532"/>
      <c r="H208" s="532"/>
      <c r="I208" s="532"/>
      <c r="J208" s="532"/>
      <c r="K208" s="532"/>
      <c r="L208" s="532"/>
      <c r="M208" s="532"/>
      <c r="N208" s="532"/>
      <c r="O208" s="533"/>
      <c r="P208" s="422"/>
      <c r="Q208" s="520" t="s">
        <v>662</v>
      </c>
      <c r="R208" s="496" t="s">
        <v>668</v>
      </c>
      <c r="S208" s="499" t="s">
        <v>663</v>
      </c>
    </row>
    <row r="209" spans="2:19" x14ac:dyDescent="0.2">
      <c r="B209" s="522"/>
      <c r="C209" s="525" t="s">
        <v>126</v>
      </c>
      <c r="D209" s="525" t="s">
        <v>127</v>
      </c>
      <c r="E209" s="525"/>
      <c r="F209" s="525" t="s">
        <v>128</v>
      </c>
      <c r="G209" s="506" t="s">
        <v>129</v>
      </c>
      <c r="H209" s="509" t="s">
        <v>130</v>
      </c>
      <c r="I209" s="496" t="s">
        <v>664</v>
      </c>
      <c r="J209" s="496" t="s">
        <v>666</v>
      </c>
      <c r="K209" s="499" t="s">
        <v>663</v>
      </c>
      <c r="L209" s="424"/>
      <c r="M209" s="512" t="s">
        <v>665</v>
      </c>
      <c r="N209" s="496" t="s">
        <v>667</v>
      </c>
      <c r="O209" s="499" t="s">
        <v>663</v>
      </c>
      <c r="P209" s="423"/>
      <c r="Q209" s="521"/>
      <c r="R209" s="497"/>
      <c r="S209" s="500"/>
    </row>
    <row r="210" spans="2:19" x14ac:dyDescent="0.2">
      <c r="B210" s="523"/>
      <c r="C210" s="526"/>
      <c r="D210" s="526"/>
      <c r="E210" s="526"/>
      <c r="F210" s="526"/>
      <c r="G210" s="507"/>
      <c r="H210" s="510"/>
      <c r="I210" s="497"/>
      <c r="J210" s="497"/>
      <c r="K210" s="500"/>
      <c r="L210" s="425"/>
      <c r="M210" s="513"/>
      <c r="N210" s="497"/>
      <c r="O210" s="500"/>
      <c r="P210" s="423"/>
      <c r="Q210" s="521"/>
      <c r="R210" s="497"/>
      <c r="S210" s="500"/>
    </row>
    <row r="211" spans="2:19" x14ac:dyDescent="0.2">
      <c r="B211" s="523"/>
      <c r="C211" s="526"/>
      <c r="D211" s="526"/>
      <c r="E211" s="526"/>
      <c r="F211" s="526"/>
      <c r="G211" s="507"/>
      <c r="H211" s="510"/>
      <c r="I211" s="497"/>
      <c r="J211" s="497"/>
      <c r="K211" s="500"/>
      <c r="L211" s="425"/>
      <c r="M211" s="513"/>
      <c r="N211" s="497"/>
      <c r="O211" s="500"/>
      <c r="P211" s="423"/>
      <c r="Q211" s="521"/>
      <c r="R211" s="497"/>
      <c r="S211" s="500"/>
    </row>
    <row r="212" spans="2:19" ht="13.5" thickBot="1" x14ac:dyDescent="0.25">
      <c r="B212" s="524"/>
      <c r="C212" s="527"/>
      <c r="D212" s="527"/>
      <c r="E212" s="527"/>
      <c r="F212" s="527"/>
      <c r="G212" s="508"/>
      <c r="H212" s="511"/>
      <c r="I212" s="498"/>
      <c r="J212" s="498"/>
      <c r="K212" s="501"/>
      <c r="L212" s="425"/>
      <c r="M212" s="514"/>
      <c r="N212" s="498"/>
      <c r="O212" s="501"/>
      <c r="P212" s="423"/>
      <c r="Q212" s="521"/>
      <c r="R212" s="498"/>
      <c r="S212" s="501"/>
    </row>
    <row r="213" spans="2:19" ht="16.5" thickTop="1" x14ac:dyDescent="0.2">
      <c r="B213" s="78">
        <v>1</v>
      </c>
      <c r="C213" s="502" t="s">
        <v>25</v>
      </c>
      <c r="D213" s="503"/>
      <c r="E213" s="503"/>
      <c r="F213" s="503"/>
      <c r="G213" s="503"/>
      <c r="H213" s="504"/>
      <c r="I213" s="34">
        <f>I275+I260+I249+I239+I230+I219+I214</f>
        <v>635854</v>
      </c>
      <c r="J213" s="34">
        <f>J275+J260+J249+J239+J230+J219+J214</f>
        <v>561223</v>
      </c>
      <c r="K213" s="218">
        <f t="shared" ref="K213:K276" si="21">J213/I213*100</f>
        <v>88.262871665508129</v>
      </c>
      <c r="L213" s="314"/>
      <c r="M213" s="281">
        <f>M214+M219+M230+M239+M249+M260+M275</f>
        <v>18000</v>
      </c>
      <c r="N213" s="34">
        <f>N214+N219+N230+N239+N249+N260+N275</f>
        <v>6457</v>
      </c>
      <c r="O213" s="218">
        <f t="shared" ref="O213:O274" si="22">N213/M213*100</f>
        <v>35.87222222222222</v>
      </c>
      <c r="P213" s="288"/>
      <c r="Q213" s="321">
        <f t="shared" ref="Q213:R245" si="23">I213+M213</f>
        <v>653854</v>
      </c>
      <c r="R213" s="87">
        <f t="shared" si="23"/>
        <v>567680</v>
      </c>
      <c r="S213" s="219">
        <f t="shared" ref="S213:S276" si="24">R213/Q213*100</f>
        <v>86.820605211560988</v>
      </c>
    </row>
    <row r="214" spans="2:19" ht="15" x14ac:dyDescent="0.2">
      <c r="B214" s="78">
        <f>B213+1</f>
        <v>2</v>
      </c>
      <c r="C214" s="430">
        <v>1</v>
      </c>
      <c r="D214" s="505" t="s">
        <v>196</v>
      </c>
      <c r="E214" s="494"/>
      <c r="F214" s="494"/>
      <c r="G214" s="494"/>
      <c r="H214" s="495"/>
      <c r="I214" s="35">
        <f>I215+I216</f>
        <v>27500</v>
      </c>
      <c r="J214" s="35">
        <f>J215+J216</f>
        <v>24509</v>
      </c>
      <c r="K214" s="218">
        <f t="shared" si="21"/>
        <v>89.123636363636365</v>
      </c>
      <c r="L214" s="315"/>
      <c r="M214" s="282">
        <v>0</v>
      </c>
      <c r="N214" s="35">
        <v>0</v>
      </c>
      <c r="O214" s="218"/>
      <c r="P214" s="276"/>
      <c r="Q214" s="322">
        <f t="shared" si="23"/>
        <v>27500</v>
      </c>
      <c r="R214" s="79">
        <f t="shared" si="23"/>
        <v>24509</v>
      </c>
      <c r="S214" s="219">
        <f t="shared" si="24"/>
        <v>89.123636363636365</v>
      </c>
    </row>
    <row r="215" spans="2:19" x14ac:dyDescent="0.2">
      <c r="B215" s="78">
        <f>B214+1</f>
        <v>3</v>
      </c>
      <c r="C215" s="7"/>
      <c r="D215" s="7"/>
      <c r="E215" s="7"/>
      <c r="F215" s="24" t="s">
        <v>82</v>
      </c>
      <c r="G215" s="7">
        <v>620</v>
      </c>
      <c r="H215" s="7" t="s">
        <v>136</v>
      </c>
      <c r="I215" s="22">
        <v>3900</v>
      </c>
      <c r="J215" s="22">
        <v>3641</v>
      </c>
      <c r="K215" s="218">
        <f t="shared" si="21"/>
        <v>93.358974358974351</v>
      </c>
      <c r="L215" s="316"/>
      <c r="M215" s="284"/>
      <c r="N215" s="22"/>
      <c r="O215" s="218"/>
      <c r="P215" s="278"/>
      <c r="Q215" s="323">
        <f t="shared" si="23"/>
        <v>3900</v>
      </c>
      <c r="R215" s="80">
        <f t="shared" si="23"/>
        <v>3641</v>
      </c>
      <c r="S215" s="219">
        <f t="shared" si="24"/>
        <v>93.358974358974351</v>
      </c>
    </row>
    <row r="216" spans="2:19" x14ac:dyDescent="0.2">
      <c r="B216" s="78">
        <f t="shared" ref="B216:B279" si="25">B215+1</f>
        <v>4</v>
      </c>
      <c r="C216" s="7"/>
      <c r="D216" s="7"/>
      <c r="E216" s="7"/>
      <c r="F216" s="24" t="s">
        <v>82</v>
      </c>
      <c r="G216" s="7">
        <v>630</v>
      </c>
      <c r="H216" s="7" t="s">
        <v>133</v>
      </c>
      <c r="I216" s="22">
        <f>I218+I217</f>
        <v>23600</v>
      </c>
      <c r="J216" s="22">
        <f>J218+J217</f>
        <v>20868</v>
      </c>
      <c r="K216" s="218">
        <f t="shared" si="21"/>
        <v>88.423728813559322</v>
      </c>
      <c r="L216" s="316"/>
      <c r="M216" s="284"/>
      <c r="N216" s="22"/>
      <c r="O216" s="218"/>
      <c r="P216" s="278"/>
      <c r="Q216" s="323">
        <f t="shared" si="23"/>
        <v>23600</v>
      </c>
      <c r="R216" s="80">
        <f t="shared" si="23"/>
        <v>20868</v>
      </c>
      <c r="S216" s="219">
        <f t="shared" si="24"/>
        <v>88.423728813559322</v>
      </c>
    </row>
    <row r="217" spans="2:19" x14ac:dyDescent="0.2">
      <c r="B217" s="78">
        <f t="shared" si="25"/>
        <v>5</v>
      </c>
      <c r="C217" s="3"/>
      <c r="D217" s="3"/>
      <c r="E217" s="3"/>
      <c r="F217" s="25" t="s">
        <v>82</v>
      </c>
      <c r="G217" s="3">
        <v>633</v>
      </c>
      <c r="H217" s="3" t="s">
        <v>137</v>
      </c>
      <c r="I217" s="18">
        <v>3100</v>
      </c>
      <c r="J217" s="18">
        <v>3004</v>
      </c>
      <c r="K217" s="218">
        <f t="shared" si="21"/>
        <v>96.903225806451616</v>
      </c>
      <c r="L217" s="317"/>
      <c r="M217" s="285"/>
      <c r="N217" s="18"/>
      <c r="O217" s="218"/>
      <c r="P217" s="279"/>
      <c r="Q217" s="324">
        <f t="shared" si="23"/>
        <v>3100</v>
      </c>
      <c r="R217" s="81">
        <f t="shared" si="23"/>
        <v>3004</v>
      </c>
      <c r="S217" s="219">
        <f t="shared" si="24"/>
        <v>96.903225806451616</v>
      </c>
    </row>
    <row r="218" spans="2:19" x14ac:dyDescent="0.2">
      <c r="B218" s="78">
        <f t="shared" si="25"/>
        <v>6</v>
      </c>
      <c r="C218" s="3"/>
      <c r="D218" s="3"/>
      <c r="E218" s="3"/>
      <c r="F218" s="25" t="s">
        <v>82</v>
      </c>
      <c r="G218" s="3">
        <v>637</v>
      </c>
      <c r="H218" s="3" t="s">
        <v>134</v>
      </c>
      <c r="I218" s="18">
        <v>20500</v>
      </c>
      <c r="J218" s="18">
        <v>17864</v>
      </c>
      <c r="K218" s="218">
        <f t="shared" si="21"/>
        <v>87.141463414634146</v>
      </c>
      <c r="L218" s="317"/>
      <c r="M218" s="285"/>
      <c r="N218" s="18"/>
      <c r="O218" s="218"/>
      <c r="P218" s="279"/>
      <c r="Q218" s="324">
        <f t="shared" si="23"/>
        <v>20500</v>
      </c>
      <c r="R218" s="81">
        <f t="shared" si="23"/>
        <v>17864</v>
      </c>
      <c r="S218" s="219">
        <f t="shared" si="24"/>
        <v>87.141463414634146</v>
      </c>
    </row>
    <row r="219" spans="2:19" ht="15" x14ac:dyDescent="0.2">
      <c r="B219" s="78">
        <f t="shared" si="25"/>
        <v>7</v>
      </c>
      <c r="C219" s="430">
        <v>2</v>
      </c>
      <c r="D219" s="505" t="s">
        <v>200</v>
      </c>
      <c r="E219" s="494"/>
      <c r="F219" s="494"/>
      <c r="G219" s="494"/>
      <c r="H219" s="495"/>
      <c r="I219" s="35">
        <f>I220+I221+I222+I228+I229</f>
        <v>107960</v>
      </c>
      <c r="J219" s="35">
        <f>J220+J221+J222+J228+J229</f>
        <v>103314</v>
      </c>
      <c r="K219" s="218">
        <f t="shared" si="21"/>
        <v>95.696554279362715</v>
      </c>
      <c r="L219" s="315"/>
      <c r="M219" s="282">
        <v>0</v>
      </c>
      <c r="N219" s="35">
        <v>0</v>
      </c>
      <c r="O219" s="218"/>
      <c r="P219" s="276"/>
      <c r="Q219" s="322">
        <f t="shared" si="23"/>
        <v>107960</v>
      </c>
      <c r="R219" s="79">
        <f t="shared" si="23"/>
        <v>103314</v>
      </c>
      <c r="S219" s="219">
        <f t="shared" si="24"/>
        <v>95.696554279362715</v>
      </c>
    </row>
    <row r="220" spans="2:19" x14ac:dyDescent="0.2">
      <c r="B220" s="78">
        <f t="shared" si="25"/>
        <v>8</v>
      </c>
      <c r="C220" s="7"/>
      <c r="D220" s="7"/>
      <c r="E220" s="7"/>
      <c r="F220" s="24" t="s">
        <v>199</v>
      </c>
      <c r="G220" s="7">
        <v>610</v>
      </c>
      <c r="H220" s="7" t="s">
        <v>143</v>
      </c>
      <c r="I220" s="22">
        <f>64000-2000+350</f>
        <v>62350</v>
      </c>
      <c r="J220" s="22">
        <v>59162</v>
      </c>
      <c r="K220" s="218">
        <f t="shared" si="21"/>
        <v>94.886928628708901</v>
      </c>
      <c r="L220" s="316"/>
      <c r="M220" s="284"/>
      <c r="N220" s="22"/>
      <c r="O220" s="218"/>
      <c r="P220" s="278"/>
      <c r="Q220" s="323">
        <f t="shared" si="23"/>
        <v>62350</v>
      </c>
      <c r="R220" s="80">
        <f t="shared" si="23"/>
        <v>59162</v>
      </c>
      <c r="S220" s="219">
        <f t="shared" si="24"/>
        <v>94.886928628708901</v>
      </c>
    </row>
    <row r="221" spans="2:19" x14ac:dyDescent="0.2">
      <c r="B221" s="78">
        <f t="shared" si="25"/>
        <v>9</v>
      </c>
      <c r="C221" s="7"/>
      <c r="D221" s="7"/>
      <c r="E221" s="7"/>
      <c r="F221" s="24" t="s">
        <v>199</v>
      </c>
      <c r="G221" s="7">
        <v>620</v>
      </c>
      <c r="H221" s="7" t="s">
        <v>136</v>
      </c>
      <c r="I221" s="22">
        <f>23300-300-500+408</f>
        <v>22908</v>
      </c>
      <c r="J221" s="22">
        <v>22811</v>
      </c>
      <c r="K221" s="218">
        <f t="shared" si="21"/>
        <v>99.576567138117696</v>
      </c>
      <c r="L221" s="316"/>
      <c r="M221" s="284"/>
      <c r="N221" s="22"/>
      <c r="O221" s="218"/>
      <c r="P221" s="278"/>
      <c r="Q221" s="323">
        <f t="shared" si="23"/>
        <v>22908</v>
      </c>
      <c r="R221" s="80">
        <f t="shared" si="23"/>
        <v>22811</v>
      </c>
      <c r="S221" s="219">
        <f t="shared" si="24"/>
        <v>99.576567138117696</v>
      </c>
    </row>
    <row r="222" spans="2:19" x14ac:dyDescent="0.2">
      <c r="B222" s="78">
        <f t="shared" si="25"/>
        <v>10</v>
      </c>
      <c r="C222" s="7"/>
      <c r="D222" s="7"/>
      <c r="E222" s="7"/>
      <c r="F222" s="24" t="s">
        <v>199</v>
      </c>
      <c r="G222" s="7">
        <v>630</v>
      </c>
      <c r="H222" s="7" t="s">
        <v>133</v>
      </c>
      <c r="I222" s="22">
        <f>I227+I226+I225+I224+I223</f>
        <v>15347</v>
      </c>
      <c r="J222" s="22">
        <f>J227+J226+J225+J224+J223</f>
        <v>13989</v>
      </c>
      <c r="K222" s="218">
        <f t="shared" si="21"/>
        <v>91.151365087639277</v>
      </c>
      <c r="L222" s="316"/>
      <c r="M222" s="284"/>
      <c r="N222" s="22"/>
      <c r="O222" s="218"/>
      <c r="P222" s="278"/>
      <c r="Q222" s="323">
        <f t="shared" si="23"/>
        <v>15347</v>
      </c>
      <c r="R222" s="80">
        <f t="shared" si="23"/>
        <v>13989</v>
      </c>
      <c r="S222" s="219">
        <f t="shared" si="24"/>
        <v>91.151365087639277</v>
      </c>
    </row>
    <row r="223" spans="2:19" x14ac:dyDescent="0.2">
      <c r="B223" s="78">
        <f t="shared" si="25"/>
        <v>11</v>
      </c>
      <c r="C223" s="3"/>
      <c r="D223" s="3"/>
      <c r="E223" s="3"/>
      <c r="F223" s="25" t="s">
        <v>199</v>
      </c>
      <c r="G223" s="3">
        <v>631</v>
      </c>
      <c r="H223" s="3" t="s">
        <v>139</v>
      </c>
      <c r="I223" s="18">
        <f>500-250</f>
        <v>250</v>
      </c>
      <c r="J223" s="18">
        <v>187</v>
      </c>
      <c r="K223" s="218">
        <f t="shared" si="21"/>
        <v>74.8</v>
      </c>
      <c r="L223" s="317"/>
      <c r="M223" s="285"/>
      <c r="N223" s="18"/>
      <c r="O223" s="218"/>
      <c r="P223" s="279"/>
      <c r="Q223" s="324">
        <f t="shared" si="23"/>
        <v>250</v>
      </c>
      <c r="R223" s="81">
        <f t="shared" si="23"/>
        <v>187</v>
      </c>
      <c r="S223" s="219">
        <f t="shared" si="24"/>
        <v>74.8</v>
      </c>
    </row>
    <row r="224" spans="2:19" x14ac:dyDescent="0.2">
      <c r="B224" s="78">
        <f t="shared" si="25"/>
        <v>12</v>
      </c>
      <c r="C224" s="3"/>
      <c r="D224" s="3"/>
      <c r="E224" s="3"/>
      <c r="F224" s="25" t="s">
        <v>199</v>
      </c>
      <c r="G224" s="3">
        <v>632</v>
      </c>
      <c r="H224" s="3" t="s">
        <v>146</v>
      </c>
      <c r="I224" s="18">
        <f>1700+150</f>
        <v>1850</v>
      </c>
      <c r="J224" s="18">
        <v>1827</v>
      </c>
      <c r="K224" s="218">
        <f t="shared" si="21"/>
        <v>98.756756756756758</v>
      </c>
      <c r="L224" s="317"/>
      <c r="M224" s="285"/>
      <c r="N224" s="18"/>
      <c r="O224" s="218"/>
      <c r="P224" s="279"/>
      <c r="Q224" s="324">
        <f t="shared" si="23"/>
        <v>1850</v>
      </c>
      <c r="R224" s="81">
        <f t="shared" si="23"/>
        <v>1827</v>
      </c>
      <c r="S224" s="219">
        <f t="shared" si="24"/>
        <v>98.756756756756758</v>
      </c>
    </row>
    <row r="225" spans="2:19" x14ac:dyDescent="0.2">
      <c r="B225" s="78">
        <f t="shared" si="25"/>
        <v>13</v>
      </c>
      <c r="C225" s="3"/>
      <c r="D225" s="3"/>
      <c r="E225" s="3"/>
      <c r="F225" s="25" t="s">
        <v>199</v>
      </c>
      <c r="G225" s="3">
        <v>633</v>
      </c>
      <c r="H225" s="3" t="s">
        <v>137</v>
      </c>
      <c r="I225" s="18">
        <f>1700+2000+1255+750-110-408</f>
        <v>5187</v>
      </c>
      <c r="J225" s="18">
        <v>5187</v>
      </c>
      <c r="K225" s="218">
        <f t="shared" si="21"/>
        <v>100</v>
      </c>
      <c r="L225" s="317"/>
      <c r="M225" s="285"/>
      <c r="N225" s="18"/>
      <c r="O225" s="218"/>
      <c r="P225" s="279"/>
      <c r="Q225" s="324">
        <f t="shared" si="23"/>
        <v>5187</v>
      </c>
      <c r="R225" s="81">
        <f t="shared" si="23"/>
        <v>5187</v>
      </c>
      <c r="S225" s="219">
        <f t="shared" si="24"/>
        <v>100</v>
      </c>
    </row>
    <row r="226" spans="2:19" x14ac:dyDescent="0.2">
      <c r="B226" s="78">
        <f t="shared" si="25"/>
        <v>14</v>
      </c>
      <c r="C226" s="3"/>
      <c r="D226" s="3"/>
      <c r="E226" s="3"/>
      <c r="F226" s="25" t="s">
        <v>199</v>
      </c>
      <c r="G226" s="3">
        <v>635</v>
      </c>
      <c r="H226" s="3" t="s">
        <v>145</v>
      </c>
      <c r="I226" s="18">
        <f>100+300+200+110</f>
        <v>710</v>
      </c>
      <c r="J226" s="18">
        <v>706</v>
      </c>
      <c r="K226" s="218">
        <f t="shared" si="21"/>
        <v>99.436619718309856</v>
      </c>
      <c r="L226" s="317"/>
      <c r="M226" s="285"/>
      <c r="N226" s="18"/>
      <c r="O226" s="218"/>
      <c r="P226" s="279"/>
      <c r="Q226" s="324">
        <f t="shared" si="23"/>
        <v>710</v>
      </c>
      <c r="R226" s="81">
        <f t="shared" si="23"/>
        <v>706</v>
      </c>
      <c r="S226" s="219">
        <f t="shared" si="24"/>
        <v>99.436619718309856</v>
      </c>
    </row>
    <row r="227" spans="2:19" x14ac:dyDescent="0.2">
      <c r="B227" s="78">
        <f t="shared" si="25"/>
        <v>15</v>
      </c>
      <c r="C227" s="3"/>
      <c r="D227" s="3"/>
      <c r="E227" s="3"/>
      <c r="F227" s="25" t="s">
        <v>199</v>
      </c>
      <c r="G227" s="3">
        <v>637</v>
      </c>
      <c r="H227" s="3" t="s">
        <v>134</v>
      </c>
      <c r="I227" s="18">
        <f>7300+300-250</f>
        <v>7350</v>
      </c>
      <c r="J227" s="18">
        <f>13287-J229</f>
        <v>6082</v>
      </c>
      <c r="K227" s="218">
        <f t="shared" si="21"/>
        <v>82.748299319727892</v>
      </c>
      <c r="L227" s="317"/>
      <c r="M227" s="285"/>
      <c r="N227" s="18"/>
      <c r="O227" s="218"/>
      <c r="P227" s="279"/>
      <c r="Q227" s="324">
        <f t="shared" si="23"/>
        <v>7350</v>
      </c>
      <c r="R227" s="81">
        <f t="shared" si="23"/>
        <v>6082</v>
      </c>
      <c r="S227" s="219">
        <f t="shared" si="24"/>
        <v>82.748299319727892</v>
      </c>
    </row>
    <row r="228" spans="2:19" x14ac:dyDescent="0.2">
      <c r="B228" s="78">
        <f t="shared" si="25"/>
        <v>16</v>
      </c>
      <c r="C228" s="7"/>
      <c r="D228" s="7"/>
      <c r="E228" s="7"/>
      <c r="F228" s="24" t="s">
        <v>199</v>
      </c>
      <c r="G228" s="7">
        <v>640</v>
      </c>
      <c r="H228" s="7" t="s">
        <v>141</v>
      </c>
      <c r="I228" s="22">
        <f>400-250</f>
        <v>150</v>
      </c>
      <c r="J228" s="22">
        <v>147</v>
      </c>
      <c r="K228" s="218">
        <f t="shared" si="21"/>
        <v>98</v>
      </c>
      <c r="L228" s="316"/>
      <c r="M228" s="284"/>
      <c r="N228" s="22"/>
      <c r="O228" s="218"/>
      <c r="P228" s="278"/>
      <c r="Q228" s="323">
        <f t="shared" si="23"/>
        <v>150</v>
      </c>
      <c r="R228" s="80">
        <f t="shared" si="23"/>
        <v>147</v>
      </c>
      <c r="S228" s="219">
        <f t="shared" si="24"/>
        <v>98</v>
      </c>
    </row>
    <row r="229" spans="2:19" x14ac:dyDescent="0.2">
      <c r="B229" s="78">
        <f t="shared" si="25"/>
        <v>17</v>
      </c>
      <c r="C229" s="7"/>
      <c r="D229" s="7"/>
      <c r="E229" s="7"/>
      <c r="F229" s="25" t="s">
        <v>199</v>
      </c>
      <c r="G229" s="3">
        <v>637</v>
      </c>
      <c r="H229" s="3" t="s">
        <v>569</v>
      </c>
      <c r="I229" s="19">
        <v>7205</v>
      </c>
      <c r="J229" s="19">
        <v>7205</v>
      </c>
      <c r="K229" s="218">
        <f t="shared" si="21"/>
        <v>100</v>
      </c>
      <c r="L229" s="317"/>
      <c r="M229" s="284"/>
      <c r="N229" s="22"/>
      <c r="O229" s="218"/>
      <c r="P229" s="278"/>
      <c r="Q229" s="323">
        <f t="shared" si="23"/>
        <v>7205</v>
      </c>
      <c r="R229" s="80">
        <f t="shared" si="23"/>
        <v>7205</v>
      </c>
      <c r="S229" s="219">
        <f t="shared" si="24"/>
        <v>100</v>
      </c>
    </row>
    <row r="230" spans="2:19" ht="15" x14ac:dyDescent="0.2">
      <c r="B230" s="78">
        <f t="shared" si="25"/>
        <v>18</v>
      </c>
      <c r="C230" s="430">
        <v>3</v>
      </c>
      <c r="D230" s="505" t="s">
        <v>184</v>
      </c>
      <c r="E230" s="494"/>
      <c r="F230" s="494"/>
      <c r="G230" s="494"/>
      <c r="H230" s="495"/>
      <c r="I230" s="35">
        <f>I231+I232+I233+I238</f>
        <v>196260</v>
      </c>
      <c r="J230" s="35">
        <f>J231+J232+J233+J238</f>
        <v>188663</v>
      </c>
      <c r="K230" s="218">
        <f t="shared" si="21"/>
        <v>96.12911444002853</v>
      </c>
      <c r="L230" s="315"/>
      <c r="M230" s="282">
        <v>0</v>
      </c>
      <c r="N230" s="35">
        <v>0</v>
      </c>
      <c r="O230" s="218"/>
      <c r="P230" s="276"/>
      <c r="Q230" s="322">
        <f t="shared" si="23"/>
        <v>196260</v>
      </c>
      <c r="R230" s="79">
        <f t="shared" si="23"/>
        <v>188663</v>
      </c>
      <c r="S230" s="219">
        <f t="shared" si="24"/>
        <v>96.12911444002853</v>
      </c>
    </row>
    <row r="231" spans="2:19" x14ac:dyDescent="0.2">
      <c r="B231" s="78">
        <f t="shared" si="25"/>
        <v>19</v>
      </c>
      <c r="C231" s="7"/>
      <c r="D231" s="7"/>
      <c r="E231" s="7"/>
      <c r="F231" s="24" t="s">
        <v>81</v>
      </c>
      <c r="G231" s="7">
        <v>610</v>
      </c>
      <c r="H231" s="7" t="s">
        <v>143</v>
      </c>
      <c r="I231" s="22">
        <v>136400</v>
      </c>
      <c r="J231" s="22">
        <v>130569</v>
      </c>
      <c r="K231" s="218">
        <f t="shared" si="21"/>
        <v>95.725073313783</v>
      </c>
      <c r="L231" s="316"/>
      <c r="M231" s="284"/>
      <c r="N231" s="22"/>
      <c r="O231" s="218"/>
      <c r="P231" s="278"/>
      <c r="Q231" s="323">
        <f t="shared" si="23"/>
        <v>136400</v>
      </c>
      <c r="R231" s="80">
        <f t="shared" si="23"/>
        <v>130569</v>
      </c>
      <c r="S231" s="219">
        <f t="shared" si="24"/>
        <v>95.725073313783</v>
      </c>
    </row>
    <row r="232" spans="2:19" x14ac:dyDescent="0.2">
      <c r="B232" s="78">
        <f t="shared" si="25"/>
        <v>20</v>
      </c>
      <c r="C232" s="7"/>
      <c r="D232" s="7"/>
      <c r="E232" s="7"/>
      <c r="F232" s="24" t="s">
        <v>81</v>
      </c>
      <c r="G232" s="7">
        <v>620</v>
      </c>
      <c r="H232" s="7" t="s">
        <v>136</v>
      </c>
      <c r="I232" s="22">
        <v>46000</v>
      </c>
      <c r="J232" s="22">
        <v>45990</v>
      </c>
      <c r="K232" s="218">
        <f t="shared" si="21"/>
        <v>99.978260869565219</v>
      </c>
      <c r="L232" s="316"/>
      <c r="M232" s="284"/>
      <c r="N232" s="22"/>
      <c r="O232" s="218"/>
      <c r="P232" s="278"/>
      <c r="Q232" s="323">
        <f t="shared" si="23"/>
        <v>46000</v>
      </c>
      <c r="R232" s="80">
        <f t="shared" si="23"/>
        <v>45990</v>
      </c>
      <c r="S232" s="219">
        <f t="shared" si="24"/>
        <v>99.978260869565219</v>
      </c>
    </row>
    <row r="233" spans="2:19" x14ac:dyDescent="0.2">
      <c r="B233" s="78">
        <f t="shared" si="25"/>
        <v>21</v>
      </c>
      <c r="C233" s="7"/>
      <c r="D233" s="7"/>
      <c r="E233" s="7"/>
      <c r="F233" s="24" t="s">
        <v>81</v>
      </c>
      <c r="G233" s="7">
        <v>630</v>
      </c>
      <c r="H233" s="7" t="s">
        <v>133</v>
      </c>
      <c r="I233" s="22">
        <f>I237+I236+I235+I234</f>
        <v>13360</v>
      </c>
      <c r="J233" s="22">
        <f>J237+J236+J235+J234</f>
        <v>12104</v>
      </c>
      <c r="K233" s="218">
        <f t="shared" si="21"/>
        <v>90.598802395209574</v>
      </c>
      <c r="L233" s="316"/>
      <c r="M233" s="284"/>
      <c r="N233" s="22"/>
      <c r="O233" s="218"/>
      <c r="P233" s="278"/>
      <c r="Q233" s="323">
        <f t="shared" si="23"/>
        <v>13360</v>
      </c>
      <c r="R233" s="80">
        <f t="shared" si="23"/>
        <v>12104</v>
      </c>
      <c r="S233" s="219">
        <f t="shared" si="24"/>
        <v>90.598802395209574</v>
      </c>
    </row>
    <row r="234" spans="2:19" x14ac:dyDescent="0.2">
      <c r="B234" s="78">
        <f t="shared" si="25"/>
        <v>22</v>
      </c>
      <c r="C234" s="3"/>
      <c r="D234" s="3"/>
      <c r="E234" s="3"/>
      <c r="F234" s="25" t="s">
        <v>81</v>
      </c>
      <c r="G234" s="3">
        <v>631</v>
      </c>
      <c r="H234" s="3" t="s">
        <v>139</v>
      </c>
      <c r="I234" s="18">
        <v>100</v>
      </c>
      <c r="J234" s="18">
        <v>0</v>
      </c>
      <c r="K234" s="218">
        <f t="shared" si="21"/>
        <v>0</v>
      </c>
      <c r="L234" s="317"/>
      <c r="M234" s="285"/>
      <c r="N234" s="18"/>
      <c r="O234" s="218"/>
      <c r="P234" s="279"/>
      <c r="Q234" s="324">
        <f t="shared" si="23"/>
        <v>100</v>
      </c>
      <c r="R234" s="81">
        <f t="shared" si="23"/>
        <v>0</v>
      </c>
      <c r="S234" s="219">
        <f t="shared" si="24"/>
        <v>0</v>
      </c>
    </row>
    <row r="235" spans="2:19" x14ac:dyDescent="0.2">
      <c r="B235" s="78">
        <f t="shared" si="25"/>
        <v>23</v>
      </c>
      <c r="C235" s="3"/>
      <c r="D235" s="3"/>
      <c r="E235" s="3"/>
      <c r="F235" s="25" t="s">
        <v>81</v>
      </c>
      <c r="G235" s="3">
        <v>632</v>
      </c>
      <c r="H235" s="3" t="s">
        <v>146</v>
      </c>
      <c r="I235" s="18">
        <v>1800</v>
      </c>
      <c r="J235" s="18">
        <v>1706</v>
      </c>
      <c r="K235" s="218">
        <f t="shared" si="21"/>
        <v>94.777777777777786</v>
      </c>
      <c r="L235" s="317"/>
      <c r="M235" s="285"/>
      <c r="N235" s="18"/>
      <c r="O235" s="218"/>
      <c r="P235" s="279"/>
      <c r="Q235" s="324">
        <f t="shared" si="23"/>
        <v>1800</v>
      </c>
      <c r="R235" s="81">
        <f t="shared" si="23"/>
        <v>1706</v>
      </c>
      <c r="S235" s="219">
        <f t="shared" si="24"/>
        <v>94.777777777777786</v>
      </c>
    </row>
    <row r="236" spans="2:19" x14ac:dyDescent="0.2">
      <c r="B236" s="78">
        <f t="shared" si="25"/>
        <v>24</v>
      </c>
      <c r="C236" s="3"/>
      <c r="D236" s="3"/>
      <c r="E236" s="3"/>
      <c r="F236" s="25" t="s">
        <v>81</v>
      </c>
      <c r="G236" s="3">
        <v>633</v>
      </c>
      <c r="H236" s="3" t="s">
        <v>137</v>
      </c>
      <c r="I236" s="18">
        <v>1200</v>
      </c>
      <c r="J236" s="18">
        <v>842</v>
      </c>
      <c r="K236" s="218">
        <f t="shared" si="21"/>
        <v>70.166666666666671</v>
      </c>
      <c r="L236" s="317"/>
      <c r="M236" s="285"/>
      <c r="N236" s="18"/>
      <c r="O236" s="218"/>
      <c r="P236" s="279"/>
      <c r="Q236" s="324">
        <f t="shared" si="23"/>
        <v>1200</v>
      </c>
      <c r="R236" s="81">
        <f t="shared" si="23"/>
        <v>842</v>
      </c>
      <c r="S236" s="219">
        <f t="shared" si="24"/>
        <v>70.166666666666671</v>
      </c>
    </row>
    <row r="237" spans="2:19" x14ac:dyDescent="0.2">
      <c r="B237" s="78">
        <f t="shared" si="25"/>
        <v>25</v>
      </c>
      <c r="C237" s="3"/>
      <c r="D237" s="3"/>
      <c r="E237" s="3"/>
      <c r="F237" s="25" t="s">
        <v>81</v>
      </c>
      <c r="G237" s="3">
        <v>637</v>
      </c>
      <c r="H237" s="3" t="s">
        <v>134</v>
      </c>
      <c r="I237" s="18">
        <v>10260</v>
      </c>
      <c r="J237" s="18">
        <v>9556</v>
      </c>
      <c r="K237" s="218">
        <f t="shared" si="21"/>
        <v>93.138401559454181</v>
      </c>
      <c r="L237" s="317"/>
      <c r="M237" s="285"/>
      <c r="N237" s="18"/>
      <c r="O237" s="218"/>
      <c r="P237" s="279"/>
      <c r="Q237" s="324">
        <f t="shared" si="23"/>
        <v>10260</v>
      </c>
      <c r="R237" s="81">
        <f t="shared" si="23"/>
        <v>9556</v>
      </c>
      <c r="S237" s="219">
        <f t="shared" si="24"/>
        <v>93.138401559454181</v>
      </c>
    </row>
    <row r="238" spans="2:19" x14ac:dyDescent="0.2">
      <c r="B238" s="78">
        <f t="shared" si="25"/>
        <v>26</v>
      </c>
      <c r="C238" s="7"/>
      <c r="D238" s="7"/>
      <c r="E238" s="7"/>
      <c r="F238" s="24" t="s">
        <v>81</v>
      </c>
      <c r="G238" s="7">
        <v>640</v>
      </c>
      <c r="H238" s="7" t="s">
        <v>141</v>
      </c>
      <c r="I238" s="22">
        <v>500</v>
      </c>
      <c r="J238" s="22">
        <v>0</v>
      </c>
      <c r="K238" s="218">
        <f t="shared" si="21"/>
        <v>0</v>
      </c>
      <c r="L238" s="316"/>
      <c r="M238" s="284"/>
      <c r="N238" s="22"/>
      <c r="O238" s="218"/>
      <c r="P238" s="278"/>
      <c r="Q238" s="323">
        <f t="shared" si="23"/>
        <v>500</v>
      </c>
      <c r="R238" s="80">
        <f t="shared" si="23"/>
        <v>0</v>
      </c>
      <c r="S238" s="219">
        <f t="shared" si="24"/>
        <v>0</v>
      </c>
    </row>
    <row r="239" spans="2:19" ht="15" x14ac:dyDescent="0.2">
      <c r="B239" s="78">
        <f t="shared" si="25"/>
        <v>27</v>
      </c>
      <c r="C239" s="430">
        <v>4</v>
      </c>
      <c r="D239" s="505" t="s">
        <v>50</v>
      </c>
      <c r="E239" s="494"/>
      <c r="F239" s="494"/>
      <c r="G239" s="494"/>
      <c r="H239" s="495"/>
      <c r="I239" s="35">
        <f>I240</f>
        <v>48140</v>
      </c>
      <c r="J239" s="35">
        <f>J240</f>
        <v>43674</v>
      </c>
      <c r="K239" s="218">
        <f t="shared" si="21"/>
        <v>90.722891566265062</v>
      </c>
      <c r="L239" s="315"/>
      <c r="M239" s="282">
        <v>0</v>
      </c>
      <c r="N239" s="35">
        <v>0</v>
      </c>
      <c r="O239" s="218"/>
      <c r="P239" s="276"/>
      <c r="Q239" s="322">
        <f t="shared" si="23"/>
        <v>48140</v>
      </c>
      <c r="R239" s="79">
        <f t="shared" si="23"/>
        <v>43674</v>
      </c>
      <c r="S239" s="219">
        <f t="shared" si="24"/>
        <v>90.722891566265062</v>
      </c>
    </row>
    <row r="240" spans="2:19" ht="15" x14ac:dyDescent="0.25">
      <c r="B240" s="78">
        <f t="shared" si="25"/>
        <v>28</v>
      </c>
      <c r="C240" s="10"/>
      <c r="D240" s="10"/>
      <c r="E240" s="10">
        <v>2</v>
      </c>
      <c r="F240" s="27"/>
      <c r="G240" s="10"/>
      <c r="H240" s="10" t="s">
        <v>401</v>
      </c>
      <c r="I240" s="37">
        <f>I241+I242+I243+I248</f>
        <v>48140</v>
      </c>
      <c r="J240" s="37">
        <f>J241+J242+J243+J248</f>
        <v>43674</v>
      </c>
      <c r="K240" s="218">
        <f t="shared" si="21"/>
        <v>90.722891566265062</v>
      </c>
      <c r="L240" s="318"/>
      <c r="M240" s="299"/>
      <c r="N240" s="37"/>
      <c r="O240" s="218"/>
      <c r="P240" s="295"/>
      <c r="Q240" s="325">
        <f t="shared" si="23"/>
        <v>48140</v>
      </c>
      <c r="R240" s="88">
        <f t="shared" si="23"/>
        <v>43674</v>
      </c>
      <c r="S240" s="219">
        <f t="shared" si="24"/>
        <v>90.722891566265062</v>
      </c>
    </row>
    <row r="241" spans="2:19" x14ac:dyDescent="0.2">
      <c r="B241" s="78">
        <f>B239+1</f>
        <v>28</v>
      </c>
      <c r="C241" s="7"/>
      <c r="D241" s="7"/>
      <c r="E241" s="7"/>
      <c r="F241" s="24" t="s">
        <v>207</v>
      </c>
      <c r="G241" s="7">
        <v>610</v>
      </c>
      <c r="H241" s="7" t="s">
        <v>143</v>
      </c>
      <c r="I241" s="22">
        <v>24350</v>
      </c>
      <c r="J241" s="22">
        <v>23410</v>
      </c>
      <c r="K241" s="218">
        <f t="shared" si="21"/>
        <v>96.139630390143736</v>
      </c>
      <c r="L241" s="316"/>
      <c r="M241" s="284"/>
      <c r="N241" s="22"/>
      <c r="O241" s="218"/>
      <c r="P241" s="278"/>
      <c r="Q241" s="323">
        <f t="shared" si="23"/>
        <v>24350</v>
      </c>
      <c r="R241" s="80">
        <f t="shared" si="23"/>
        <v>23410</v>
      </c>
      <c r="S241" s="219">
        <f t="shared" si="24"/>
        <v>96.139630390143736</v>
      </c>
    </row>
    <row r="242" spans="2:19" x14ac:dyDescent="0.2">
      <c r="B242" s="78">
        <f t="shared" si="25"/>
        <v>29</v>
      </c>
      <c r="C242" s="7"/>
      <c r="D242" s="7"/>
      <c r="E242" s="7"/>
      <c r="F242" s="24" t="s">
        <v>207</v>
      </c>
      <c r="G242" s="7">
        <v>620</v>
      </c>
      <c r="H242" s="7" t="s">
        <v>136</v>
      </c>
      <c r="I242" s="22">
        <v>9100</v>
      </c>
      <c r="J242" s="22">
        <v>8376</v>
      </c>
      <c r="K242" s="218">
        <f t="shared" si="21"/>
        <v>92.043956043956044</v>
      </c>
      <c r="L242" s="316"/>
      <c r="M242" s="284"/>
      <c r="N242" s="22"/>
      <c r="O242" s="218"/>
      <c r="P242" s="278"/>
      <c r="Q242" s="323">
        <f t="shared" si="23"/>
        <v>9100</v>
      </c>
      <c r="R242" s="80">
        <f t="shared" si="23"/>
        <v>8376</v>
      </c>
      <c r="S242" s="219">
        <f t="shared" si="24"/>
        <v>92.043956043956044</v>
      </c>
    </row>
    <row r="243" spans="2:19" x14ac:dyDescent="0.2">
      <c r="B243" s="78">
        <f t="shared" si="25"/>
        <v>30</v>
      </c>
      <c r="C243" s="7"/>
      <c r="D243" s="7"/>
      <c r="E243" s="7"/>
      <c r="F243" s="24" t="s">
        <v>207</v>
      </c>
      <c r="G243" s="7">
        <v>630</v>
      </c>
      <c r="H243" s="7" t="s">
        <v>133</v>
      </c>
      <c r="I243" s="22">
        <f>SUM(I244:I247)</f>
        <v>13590</v>
      </c>
      <c r="J243" s="22">
        <f>SUM(J244:J247)</f>
        <v>11018</v>
      </c>
      <c r="K243" s="218">
        <f t="shared" si="21"/>
        <v>81.074319352465054</v>
      </c>
      <c r="L243" s="316"/>
      <c r="M243" s="284"/>
      <c r="N243" s="22"/>
      <c r="O243" s="218"/>
      <c r="P243" s="278"/>
      <c r="Q243" s="323">
        <f t="shared" si="23"/>
        <v>13590</v>
      </c>
      <c r="R243" s="80">
        <f t="shared" si="23"/>
        <v>11018</v>
      </c>
      <c r="S243" s="219">
        <f t="shared" si="24"/>
        <v>81.074319352465054</v>
      </c>
    </row>
    <row r="244" spans="2:19" x14ac:dyDescent="0.2">
      <c r="B244" s="78">
        <f t="shared" si="25"/>
        <v>31</v>
      </c>
      <c r="C244" s="3"/>
      <c r="D244" s="3"/>
      <c r="E244" s="3"/>
      <c r="F244" s="25" t="s">
        <v>207</v>
      </c>
      <c r="G244" s="3">
        <v>632</v>
      </c>
      <c r="H244" s="3" t="s">
        <v>146</v>
      </c>
      <c r="I244" s="18">
        <v>7900</v>
      </c>
      <c r="J244" s="18">
        <v>6844</v>
      </c>
      <c r="K244" s="218">
        <f t="shared" si="21"/>
        <v>86.632911392405063</v>
      </c>
      <c r="L244" s="317"/>
      <c r="M244" s="285"/>
      <c r="N244" s="18"/>
      <c r="O244" s="218"/>
      <c r="P244" s="279"/>
      <c r="Q244" s="324">
        <f t="shared" si="23"/>
        <v>7900</v>
      </c>
      <c r="R244" s="81">
        <f t="shared" si="23"/>
        <v>6844</v>
      </c>
      <c r="S244" s="219">
        <f t="shared" si="24"/>
        <v>86.632911392405063</v>
      </c>
    </row>
    <row r="245" spans="2:19" x14ac:dyDescent="0.2">
      <c r="B245" s="78">
        <f t="shared" si="25"/>
        <v>32</v>
      </c>
      <c r="C245" s="3"/>
      <c r="D245" s="3"/>
      <c r="E245" s="3"/>
      <c r="F245" s="25" t="s">
        <v>207</v>
      </c>
      <c r="G245" s="3">
        <v>633</v>
      </c>
      <c r="H245" s="3" t="s">
        <v>137</v>
      </c>
      <c r="I245" s="18">
        <v>2200</v>
      </c>
      <c r="J245" s="18">
        <v>1487</v>
      </c>
      <c r="K245" s="218">
        <f t="shared" si="21"/>
        <v>67.590909090909093</v>
      </c>
      <c r="L245" s="317"/>
      <c r="M245" s="285"/>
      <c r="N245" s="18"/>
      <c r="O245" s="218"/>
      <c r="P245" s="279"/>
      <c r="Q245" s="324">
        <f t="shared" si="23"/>
        <v>2200</v>
      </c>
      <c r="R245" s="81">
        <f t="shared" si="23"/>
        <v>1487</v>
      </c>
      <c r="S245" s="219">
        <f t="shared" si="24"/>
        <v>67.590909090909093</v>
      </c>
    </row>
    <row r="246" spans="2:19" x14ac:dyDescent="0.2">
      <c r="B246" s="78">
        <f t="shared" si="25"/>
        <v>33</v>
      </c>
      <c r="C246" s="3"/>
      <c r="D246" s="3"/>
      <c r="E246" s="3"/>
      <c r="F246" s="25" t="s">
        <v>207</v>
      </c>
      <c r="G246" s="3">
        <v>635</v>
      </c>
      <c r="H246" s="3" t="s">
        <v>145</v>
      </c>
      <c r="I246" s="18">
        <v>400</v>
      </c>
      <c r="J246" s="18">
        <v>170</v>
      </c>
      <c r="K246" s="218">
        <f t="shared" si="21"/>
        <v>42.5</v>
      </c>
      <c r="L246" s="317"/>
      <c r="M246" s="285"/>
      <c r="N246" s="18"/>
      <c r="O246" s="218"/>
      <c r="P246" s="279"/>
      <c r="Q246" s="324">
        <f t="shared" ref="Q246:R278" si="26">I246+M246</f>
        <v>400</v>
      </c>
      <c r="R246" s="81">
        <f t="shared" si="26"/>
        <v>170</v>
      </c>
      <c r="S246" s="219">
        <f t="shared" si="24"/>
        <v>42.5</v>
      </c>
    </row>
    <row r="247" spans="2:19" x14ac:dyDescent="0.2">
      <c r="B247" s="78">
        <f t="shared" si="25"/>
        <v>34</v>
      </c>
      <c r="C247" s="3"/>
      <c r="D247" s="3"/>
      <c r="E247" s="3"/>
      <c r="F247" s="25" t="s">
        <v>207</v>
      </c>
      <c r="G247" s="3">
        <v>637</v>
      </c>
      <c r="H247" s="3" t="s">
        <v>134</v>
      </c>
      <c r="I247" s="18">
        <v>3090</v>
      </c>
      <c r="J247" s="18">
        <v>2517</v>
      </c>
      <c r="K247" s="218">
        <f t="shared" si="21"/>
        <v>81.456310679611647</v>
      </c>
      <c r="L247" s="317"/>
      <c r="M247" s="285"/>
      <c r="N247" s="18"/>
      <c r="O247" s="218"/>
      <c r="P247" s="279"/>
      <c r="Q247" s="324">
        <f t="shared" si="26"/>
        <v>3090</v>
      </c>
      <c r="R247" s="81">
        <f t="shared" si="26"/>
        <v>2517</v>
      </c>
      <c r="S247" s="219">
        <f t="shared" si="24"/>
        <v>81.456310679611647</v>
      </c>
    </row>
    <row r="248" spans="2:19" x14ac:dyDescent="0.2">
      <c r="B248" s="78">
        <f t="shared" si="25"/>
        <v>35</v>
      </c>
      <c r="C248" s="7"/>
      <c r="D248" s="7"/>
      <c r="E248" s="7"/>
      <c r="F248" s="24" t="s">
        <v>207</v>
      </c>
      <c r="G248" s="7">
        <v>640</v>
      </c>
      <c r="H248" s="7" t="s">
        <v>141</v>
      </c>
      <c r="I248" s="22">
        <v>1100</v>
      </c>
      <c r="J248" s="22">
        <v>870</v>
      </c>
      <c r="K248" s="218">
        <f t="shared" si="21"/>
        <v>79.090909090909093</v>
      </c>
      <c r="L248" s="316"/>
      <c r="M248" s="284"/>
      <c r="N248" s="22"/>
      <c r="O248" s="218"/>
      <c r="P248" s="278"/>
      <c r="Q248" s="323">
        <f t="shared" si="26"/>
        <v>1100</v>
      </c>
      <c r="R248" s="80">
        <f t="shared" si="26"/>
        <v>870</v>
      </c>
      <c r="S248" s="219">
        <f t="shared" si="24"/>
        <v>79.090909090909093</v>
      </c>
    </row>
    <row r="249" spans="2:19" ht="15" x14ac:dyDescent="0.2">
      <c r="B249" s="78">
        <f t="shared" si="25"/>
        <v>36</v>
      </c>
      <c r="C249" s="430">
        <v>5</v>
      </c>
      <c r="D249" s="505" t="s">
        <v>232</v>
      </c>
      <c r="E249" s="494"/>
      <c r="F249" s="494"/>
      <c r="G249" s="494"/>
      <c r="H249" s="495"/>
      <c r="I249" s="35">
        <f>I250</f>
        <v>65960</v>
      </c>
      <c r="J249" s="35">
        <f>J250</f>
        <v>57307</v>
      </c>
      <c r="K249" s="218">
        <f t="shared" si="21"/>
        <v>86.881443298969074</v>
      </c>
      <c r="L249" s="315"/>
      <c r="M249" s="282">
        <f>M250</f>
        <v>0</v>
      </c>
      <c r="N249" s="35">
        <f>N250</f>
        <v>0</v>
      </c>
      <c r="O249" s="218"/>
      <c r="P249" s="276"/>
      <c r="Q249" s="322">
        <f t="shared" si="26"/>
        <v>65960</v>
      </c>
      <c r="R249" s="79">
        <f t="shared" si="26"/>
        <v>57307</v>
      </c>
      <c r="S249" s="219">
        <f t="shared" si="24"/>
        <v>86.881443298969074</v>
      </c>
    </row>
    <row r="250" spans="2:19" ht="15" x14ac:dyDescent="0.25">
      <c r="B250" s="78">
        <f t="shared" si="25"/>
        <v>37</v>
      </c>
      <c r="C250" s="10"/>
      <c r="D250" s="10"/>
      <c r="E250" s="10">
        <v>2</v>
      </c>
      <c r="F250" s="27"/>
      <c r="G250" s="10"/>
      <c r="H250" s="10" t="s">
        <v>401</v>
      </c>
      <c r="I250" s="37">
        <f>I251+I252+I253+I259</f>
        <v>65960</v>
      </c>
      <c r="J250" s="37">
        <f>J251+J252+J253+J259</f>
        <v>57307</v>
      </c>
      <c r="K250" s="218">
        <f t="shared" si="21"/>
        <v>86.881443298969074</v>
      </c>
      <c r="L250" s="318"/>
      <c r="M250" s="299"/>
      <c r="N250" s="37"/>
      <c r="O250" s="218"/>
      <c r="P250" s="295"/>
      <c r="Q250" s="325">
        <f t="shared" si="26"/>
        <v>65960</v>
      </c>
      <c r="R250" s="88">
        <f t="shared" si="26"/>
        <v>57307</v>
      </c>
      <c r="S250" s="219">
        <f t="shared" si="24"/>
        <v>86.881443298969074</v>
      </c>
    </row>
    <row r="251" spans="2:19" x14ac:dyDescent="0.2">
      <c r="B251" s="78">
        <f t="shared" si="25"/>
        <v>38</v>
      </c>
      <c r="C251" s="7"/>
      <c r="D251" s="7"/>
      <c r="E251" s="7"/>
      <c r="F251" s="24" t="s">
        <v>207</v>
      </c>
      <c r="G251" s="7">
        <v>610</v>
      </c>
      <c r="H251" s="7" t="s">
        <v>143</v>
      </c>
      <c r="I251" s="22">
        <v>22090</v>
      </c>
      <c r="J251" s="22">
        <v>21977</v>
      </c>
      <c r="K251" s="218">
        <f t="shared" si="21"/>
        <v>99.488456315074686</v>
      </c>
      <c r="L251" s="316"/>
      <c r="M251" s="284"/>
      <c r="N251" s="22"/>
      <c r="O251" s="218"/>
      <c r="P251" s="278"/>
      <c r="Q251" s="323">
        <f t="shared" si="26"/>
        <v>22090</v>
      </c>
      <c r="R251" s="80">
        <f t="shared" si="26"/>
        <v>21977</v>
      </c>
      <c r="S251" s="219">
        <f t="shared" si="24"/>
        <v>99.488456315074686</v>
      </c>
    </row>
    <row r="252" spans="2:19" x14ac:dyDescent="0.2">
      <c r="B252" s="78">
        <f t="shared" si="25"/>
        <v>39</v>
      </c>
      <c r="C252" s="7"/>
      <c r="D252" s="7"/>
      <c r="E252" s="7"/>
      <c r="F252" s="24" t="s">
        <v>207</v>
      </c>
      <c r="G252" s="7">
        <v>620</v>
      </c>
      <c r="H252" s="7" t="s">
        <v>136</v>
      </c>
      <c r="I252" s="22">
        <v>9300</v>
      </c>
      <c r="J252" s="22">
        <v>8546</v>
      </c>
      <c r="K252" s="218">
        <f t="shared" si="21"/>
        <v>91.892473118279568</v>
      </c>
      <c r="L252" s="316"/>
      <c r="M252" s="284"/>
      <c r="N252" s="22"/>
      <c r="O252" s="218"/>
      <c r="P252" s="278"/>
      <c r="Q252" s="323">
        <f t="shared" si="26"/>
        <v>9300</v>
      </c>
      <c r="R252" s="80">
        <f t="shared" si="26"/>
        <v>8546</v>
      </c>
      <c r="S252" s="219">
        <f t="shared" si="24"/>
        <v>91.892473118279568</v>
      </c>
    </row>
    <row r="253" spans="2:19" x14ac:dyDescent="0.2">
      <c r="B253" s="78">
        <f t="shared" si="25"/>
        <v>40</v>
      </c>
      <c r="C253" s="7"/>
      <c r="D253" s="7"/>
      <c r="E253" s="7"/>
      <c r="F253" s="24" t="s">
        <v>207</v>
      </c>
      <c r="G253" s="7">
        <v>630</v>
      </c>
      <c r="H253" s="7" t="s">
        <v>133</v>
      </c>
      <c r="I253" s="22">
        <f>SUM(I254:I258)</f>
        <v>32520</v>
      </c>
      <c r="J253" s="22">
        <f>SUM(J254:J258)</f>
        <v>26784</v>
      </c>
      <c r="K253" s="218">
        <f t="shared" si="21"/>
        <v>82.361623616236159</v>
      </c>
      <c r="L253" s="316"/>
      <c r="M253" s="284"/>
      <c r="N253" s="22"/>
      <c r="O253" s="218"/>
      <c r="P253" s="278"/>
      <c r="Q253" s="323">
        <f t="shared" si="26"/>
        <v>32520</v>
      </c>
      <c r="R253" s="80">
        <f t="shared" si="26"/>
        <v>26784</v>
      </c>
      <c r="S253" s="219">
        <f t="shared" si="24"/>
        <v>82.361623616236159</v>
      </c>
    </row>
    <row r="254" spans="2:19" x14ac:dyDescent="0.2">
      <c r="B254" s="78">
        <f t="shared" si="25"/>
        <v>41</v>
      </c>
      <c r="C254" s="3"/>
      <c r="D254" s="3"/>
      <c r="E254" s="3"/>
      <c r="F254" s="25" t="s">
        <v>207</v>
      </c>
      <c r="G254" s="3">
        <v>632</v>
      </c>
      <c r="H254" s="3" t="s">
        <v>146</v>
      </c>
      <c r="I254" s="18">
        <v>6400</v>
      </c>
      <c r="J254" s="18">
        <v>3931</v>
      </c>
      <c r="K254" s="218">
        <f t="shared" si="21"/>
        <v>61.421875</v>
      </c>
      <c r="L254" s="317"/>
      <c r="M254" s="285"/>
      <c r="N254" s="18"/>
      <c r="O254" s="218"/>
      <c r="P254" s="279"/>
      <c r="Q254" s="324">
        <f t="shared" si="26"/>
        <v>6400</v>
      </c>
      <c r="R254" s="81">
        <f t="shared" si="26"/>
        <v>3931</v>
      </c>
      <c r="S254" s="219">
        <f t="shared" si="24"/>
        <v>61.421875</v>
      </c>
    </row>
    <row r="255" spans="2:19" x14ac:dyDescent="0.2">
      <c r="B255" s="78">
        <f t="shared" si="25"/>
        <v>42</v>
      </c>
      <c r="C255" s="3"/>
      <c r="D255" s="3"/>
      <c r="E255" s="3"/>
      <c r="F255" s="25" t="s">
        <v>207</v>
      </c>
      <c r="G255" s="3">
        <v>633</v>
      </c>
      <c r="H255" s="3" t="s">
        <v>137</v>
      </c>
      <c r="I255" s="18">
        <v>1000</v>
      </c>
      <c r="J255" s="18">
        <v>884</v>
      </c>
      <c r="K255" s="218">
        <f t="shared" si="21"/>
        <v>88.4</v>
      </c>
      <c r="L255" s="317"/>
      <c r="M255" s="285"/>
      <c r="N255" s="18"/>
      <c r="O255" s="218"/>
      <c r="P255" s="279"/>
      <c r="Q255" s="324">
        <f t="shared" si="26"/>
        <v>1000</v>
      </c>
      <c r="R255" s="81">
        <f t="shared" si="26"/>
        <v>884</v>
      </c>
      <c r="S255" s="219">
        <f t="shared" si="24"/>
        <v>88.4</v>
      </c>
    </row>
    <row r="256" spans="2:19" x14ac:dyDescent="0.2">
      <c r="B256" s="78">
        <f t="shared" si="25"/>
        <v>43</v>
      </c>
      <c r="C256" s="3"/>
      <c r="D256" s="3"/>
      <c r="E256" s="3"/>
      <c r="F256" s="25" t="s">
        <v>207</v>
      </c>
      <c r="G256" s="3">
        <v>635</v>
      </c>
      <c r="H256" s="3" t="s">
        <v>145</v>
      </c>
      <c r="I256" s="18">
        <v>200</v>
      </c>
      <c r="J256" s="18">
        <v>42</v>
      </c>
      <c r="K256" s="218">
        <f t="shared" si="21"/>
        <v>21</v>
      </c>
      <c r="L256" s="317"/>
      <c r="M256" s="285"/>
      <c r="N256" s="18"/>
      <c r="O256" s="218"/>
      <c r="P256" s="279"/>
      <c r="Q256" s="324">
        <f t="shared" si="26"/>
        <v>200</v>
      </c>
      <c r="R256" s="81">
        <f t="shared" si="26"/>
        <v>42</v>
      </c>
      <c r="S256" s="219">
        <f t="shared" si="24"/>
        <v>21</v>
      </c>
    </row>
    <row r="257" spans="2:19" x14ac:dyDescent="0.2">
      <c r="B257" s="78">
        <f t="shared" si="25"/>
        <v>44</v>
      </c>
      <c r="C257" s="3"/>
      <c r="D257" s="3"/>
      <c r="E257" s="3"/>
      <c r="F257" s="25" t="s">
        <v>207</v>
      </c>
      <c r="G257" s="3">
        <v>636</v>
      </c>
      <c r="H257" s="3" t="s">
        <v>138</v>
      </c>
      <c r="I257" s="18">
        <f>1650+9850</f>
        <v>11500</v>
      </c>
      <c r="J257" s="18">
        <v>9900</v>
      </c>
      <c r="K257" s="218">
        <f t="shared" si="21"/>
        <v>86.08695652173914</v>
      </c>
      <c r="L257" s="317"/>
      <c r="M257" s="285"/>
      <c r="N257" s="18"/>
      <c r="O257" s="218"/>
      <c r="P257" s="279"/>
      <c r="Q257" s="324">
        <f t="shared" si="26"/>
        <v>11500</v>
      </c>
      <c r="R257" s="81">
        <f t="shared" si="26"/>
        <v>9900</v>
      </c>
      <c r="S257" s="219">
        <f t="shared" si="24"/>
        <v>86.08695652173914</v>
      </c>
    </row>
    <row r="258" spans="2:19" x14ac:dyDescent="0.2">
      <c r="B258" s="78">
        <f t="shared" si="25"/>
        <v>45</v>
      </c>
      <c r="C258" s="3"/>
      <c r="D258" s="3"/>
      <c r="E258" s="3"/>
      <c r="F258" s="25" t="s">
        <v>207</v>
      </c>
      <c r="G258" s="3">
        <v>637</v>
      </c>
      <c r="H258" s="3" t="s">
        <v>134</v>
      </c>
      <c r="I258" s="18">
        <f>12920+500</f>
        <v>13420</v>
      </c>
      <c r="J258" s="18">
        <v>12027</v>
      </c>
      <c r="K258" s="218">
        <f t="shared" si="21"/>
        <v>89.619970193740684</v>
      </c>
      <c r="L258" s="317"/>
      <c r="M258" s="285"/>
      <c r="N258" s="18"/>
      <c r="O258" s="218"/>
      <c r="P258" s="279"/>
      <c r="Q258" s="324">
        <f t="shared" si="26"/>
        <v>13420</v>
      </c>
      <c r="R258" s="81">
        <f t="shared" si="26"/>
        <v>12027</v>
      </c>
      <c r="S258" s="219">
        <f t="shared" si="24"/>
        <v>89.619970193740684</v>
      </c>
    </row>
    <row r="259" spans="2:19" x14ac:dyDescent="0.2">
      <c r="B259" s="78">
        <f t="shared" si="25"/>
        <v>46</v>
      </c>
      <c r="C259" s="7"/>
      <c r="D259" s="7"/>
      <c r="E259" s="7"/>
      <c r="F259" s="24" t="s">
        <v>207</v>
      </c>
      <c r="G259" s="7">
        <v>640</v>
      </c>
      <c r="H259" s="7" t="s">
        <v>141</v>
      </c>
      <c r="I259" s="22">
        <v>2050</v>
      </c>
      <c r="J259" s="22">
        <v>0</v>
      </c>
      <c r="K259" s="218">
        <f t="shared" si="21"/>
        <v>0</v>
      </c>
      <c r="L259" s="316"/>
      <c r="M259" s="284"/>
      <c r="N259" s="22"/>
      <c r="O259" s="218"/>
      <c r="P259" s="278"/>
      <c r="Q259" s="323">
        <f t="shared" si="26"/>
        <v>2050</v>
      </c>
      <c r="R259" s="80">
        <f t="shared" si="26"/>
        <v>0</v>
      </c>
      <c r="S259" s="219">
        <f t="shared" si="24"/>
        <v>0</v>
      </c>
    </row>
    <row r="260" spans="2:19" ht="15" x14ac:dyDescent="0.2">
      <c r="B260" s="78">
        <f t="shared" si="25"/>
        <v>47</v>
      </c>
      <c r="C260" s="430">
        <v>6</v>
      </c>
      <c r="D260" s="505" t="s">
        <v>157</v>
      </c>
      <c r="E260" s="494"/>
      <c r="F260" s="494"/>
      <c r="G260" s="494"/>
      <c r="H260" s="495"/>
      <c r="I260" s="35">
        <f>I261+I268</f>
        <v>187734</v>
      </c>
      <c r="J260" s="35">
        <f>J261+J268</f>
        <v>143378</v>
      </c>
      <c r="K260" s="218">
        <f t="shared" si="21"/>
        <v>76.372953221046799</v>
      </c>
      <c r="L260" s="315"/>
      <c r="M260" s="282">
        <f>M268</f>
        <v>18000</v>
      </c>
      <c r="N260" s="35">
        <f>N268</f>
        <v>6457</v>
      </c>
      <c r="O260" s="218">
        <f t="shared" si="22"/>
        <v>35.87222222222222</v>
      </c>
      <c r="P260" s="276"/>
      <c r="Q260" s="322">
        <f t="shared" si="26"/>
        <v>205734</v>
      </c>
      <c r="R260" s="79">
        <f t="shared" si="26"/>
        <v>149835</v>
      </c>
      <c r="S260" s="219">
        <f t="shared" si="24"/>
        <v>72.829478841611021</v>
      </c>
    </row>
    <row r="261" spans="2:19" x14ac:dyDescent="0.2">
      <c r="B261" s="78">
        <f t="shared" si="25"/>
        <v>48</v>
      </c>
      <c r="C261" s="7"/>
      <c r="D261" s="7"/>
      <c r="E261" s="7"/>
      <c r="F261" s="24" t="s">
        <v>156</v>
      </c>
      <c r="G261" s="7">
        <v>630</v>
      </c>
      <c r="H261" s="7" t="s">
        <v>133</v>
      </c>
      <c r="I261" s="22">
        <f>SUM(I262:I267)</f>
        <v>187734</v>
      </c>
      <c r="J261" s="22">
        <f>SUM(J262:J267)</f>
        <v>143378</v>
      </c>
      <c r="K261" s="218">
        <f t="shared" si="21"/>
        <v>76.372953221046799</v>
      </c>
      <c r="L261" s="316"/>
      <c r="M261" s="284"/>
      <c r="N261" s="22"/>
      <c r="O261" s="218"/>
      <c r="P261" s="278"/>
      <c r="Q261" s="323">
        <f t="shared" si="26"/>
        <v>187734</v>
      </c>
      <c r="R261" s="80">
        <f t="shared" si="26"/>
        <v>143378</v>
      </c>
      <c r="S261" s="219">
        <f t="shared" si="24"/>
        <v>76.372953221046799</v>
      </c>
    </row>
    <row r="262" spans="2:19" x14ac:dyDescent="0.2">
      <c r="B262" s="78">
        <f t="shared" si="25"/>
        <v>49</v>
      </c>
      <c r="C262" s="3"/>
      <c r="D262" s="3"/>
      <c r="E262" s="3"/>
      <c r="F262" s="25" t="s">
        <v>156</v>
      </c>
      <c r="G262" s="3">
        <v>632</v>
      </c>
      <c r="H262" s="3" t="s">
        <v>146</v>
      </c>
      <c r="I262" s="18">
        <v>25000</v>
      </c>
      <c r="J262" s="18">
        <v>20842</v>
      </c>
      <c r="K262" s="218">
        <f t="shared" si="21"/>
        <v>83.367999999999995</v>
      </c>
      <c r="L262" s="317"/>
      <c r="M262" s="285"/>
      <c r="N262" s="18"/>
      <c r="O262" s="218"/>
      <c r="P262" s="279"/>
      <c r="Q262" s="324">
        <f t="shared" si="26"/>
        <v>25000</v>
      </c>
      <c r="R262" s="81">
        <f t="shared" si="26"/>
        <v>20842</v>
      </c>
      <c r="S262" s="219">
        <f t="shared" si="24"/>
        <v>83.367999999999995</v>
      </c>
    </row>
    <row r="263" spans="2:19" x14ac:dyDescent="0.2">
      <c r="B263" s="78">
        <f t="shared" si="25"/>
        <v>50</v>
      </c>
      <c r="C263" s="3"/>
      <c r="D263" s="3"/>
      <c r="E263" s="3"/>
      <c r="F263" s="25" t="s">
        <v>156</v>
      </c>
      <c r="G263" s="3">
        <v>633</v>
      </c>
      <c r="H263" s="3" t="s">
        <v>137</v>
      </c>
      <c r="I263" s="18">
        <v>1700</v>
      </c>
      <c r="J263" s="18">
        <v>1453</v>
      </c>
      <c r="K263" s="218">
        <f t="shared" si="21"/>
        <v>85.470588235294116</v>
      </c>
      <c r="L263" s="317"/>
      <c r="M263" s="285"/>
      <c r="N263" s="18"/>
      <c r="O263" s="218"/>
      <c r="P263" s="279"/>
      <c r="Q263" s="324">
        <f t="shared" si="26"/>
        <v>1700</v>
      </c>
      <c r="R263" s="81">
        <f t="shared" si="26"/>
        <v>1453</v>
      </c>
      <c r="S263" s="219">
        <f t="shared" si="24"/>
        <v>85.470588235294116</v>
      </c>
    </row>
    <row r="264" spans="2:19" x14ac:dyDescent="0.2">
      <c r="B264" s="78">
        <f t="shared" si="25"/>
        <v>51</v>
      </c>
      <c r="C264" s="3"/>
      <c r="D264" s="3"/>
      <c r="E264" s="3"/>
      <c r="F264" s="25" t="s">
        <v>156</v>
      </c>
      <c r="G264" s="3">
        <v>635</v>
      </c>
      <c r="H264" s="3" t="s">
        <v>145</v>
      </c>
      <c r="I264" s="18">
        <f>12600+3900</f>
        <v>16500</v>
      </c>
      <c r="J264" s="18">
        <v>0</v>
      </c>
      <c r="K264" s="218">
        <f t="shared" si="21"/>
        <v>0</v>
      </c>
      <c r="L264" s="317"/>
      <c r="M264" s="285"/>
      <c r="N264" s="18"/>
      <c r="O264" s="218"/>
      <c r="P264" s="279"/>
      <c r="Q264" s="324">
        <f t="shared" si="26"/>
        <v>16500</v>
      </c>
      <c r="R264" s="81">
        <f t="shared" si="26"/>
        <v>0</v>
      </c>
      <c r="S264" s="219">
        <f t="shared" si="24"/>
        <v>0</v>
      </c>
    </row>
    <row r="265" spans="2:19" x14ac:dyDescent="0.2">
      <c r="B265" s="78">
        <f t="shared" si="25"/>
        <v>52</v>
      </c>
      <c r="C265" s="3"/>
      <c r="D265" s="3"/>
      <c r="E265" s="3"/>
      <c r="F265" s="25" t="s">
        <v>156</v>
      </c>
      <c r="G265" s="3">
        <v>635</v>
      </c>
      <c r="H265" s="3" t="s">
        <v>445</v>
      </c>
      <c r="I265" s="18">
        <f>15000+17000-500-6502</f>
        <v>24998</v>
      </c>
      <c r="J265" s="18">
        <v>24802</v>
      </c>
      <c r="K265" s="218">
        <f t="shared" si="21"/>
        <v>99.215937274981997</v>
      </c>
      <c r="L265" s="317"/>
      <c r="M265" s="285"/>
      <c r="N265" s="18"/>
      <c r="O265" s="218"/>
      <c r="P265" s="279"/>
      <c r="Q265" s="324">
        <f t="shared" si="26"/>
        <v>24998</v>
      </c>
      <c r="R265" s="81">
        <f t="shared" si="26"/>
        <v>24802</v>
      </c>
      <c r="S265" s="219">
        <f t="shared" si="24"/>
        <v>99.215937274981997</v>
      </c>
    </row>
    <row r="266" spans="2:19" x14ac:dyDescent="0.2">
      <c r="B266" s="78">
        <f t="shared" si="25"/>
        <v>53</v>
      </c>
      <c r="C266" s="3"/>
      <c r="D266" s="3"/>
      <c r="E266" s="3"/>
      <c r="F266" s="25" t="s">
        <v>156</v>
      </c>
      <c r="G266" s="3">
        <v>637</v>
      </c>
      <c r="H266" s="3" t="s">
        <v>134</v>
      </c>
      <c r="I266" s="18">
        <f>117910-3000-3900</f>
        <v>111010</v>
      </c>
      <c r="J266" s="18">
        <f>96281-J267</f>
        <v>87756</v>
      </c>
      <c r="K266" s="218">
        <f t="shared" si="21"/>
        <v>79.052337627240789</v>
      </c>
      <c r="L266" s="317"/>
      <c r="M266" s="285"/>
      <c r="N266" s="18"/>
      <c r="O266" s="218"/>
      <c r="P266" s="279"/>
      <c r="Q266" s="324">
        <f t="shared" si="26"/>
        <v>111010</v>
      </c>
      <c r="R266" s="81">
        <f t="shared" si="26"/>
        <v>87756</v>
      </c>
      <c r="S266" s="219">
        <f t="shared" si="24"/>
        <v>79.052337627240789</v>
      </c>
    </row>
    <row r="267" spans="2:19" x14ac:dyDescent="0.2">
      <c r="B267" s="78">
        <f t="shared" si="25"/>
        <v>54</v>
      </c>
      <c r="C267" s="3"/>
      <c r="D267" s="3"/>
      <c r="E267" s="3"/>
      <c r="F267" s="25" t="s">
        <v>156</v>
      </c>
      <c r="G267" s="3">
        <v>637</v>
      </c>
      <c r="H267" s="3" t="s">
        <v>288</v>
      </c>
      <c r="I267" s="18">
        <v>8526</v>
      </c>
      <c r="J267" s="18">
        <v>8525</v>
      </c>
      <c r="K267" s="218">
        <f t="shared" si="21"/>
        <v>99.988271170537175</v>
      </c>
      <c r="L267" s="317"/>
      <c r="M267" s="285"/>
      <c r="N267" s="18"/>
      <c r="O267" s="218"/>
      <c r="P267" s="279"/>
      <c r="Q267" s="324">
        <f t="shared" si="26"/>
        <v>8526</v>
      </c>
      <c r="R267" s="81">
        <f t="shared" si="26"/>
        <v>8525</v>
      </c>
      <c r="S267" s="219">
        <f t="shared" si="24"/>
        <v>99.988271170537175</v>
      </c>
    </row>
    <row r="268" spans="2:19" x14ac:dyDescent="0.2">
      <c r="B268" s="78">
        <f t="shared" si="25"/>
        <v>55</v>
      </c>
      <c r="C268" s="7"/>
      <c r="D268" s="7"/>
      <c r="E268" s="7"/>
      <c r="F268" s="24" t="s">
        <v>156</v>
      </c>
      <c r="G268" s="7">
        <v>710</v>
      </c>
      <c r="H268" s="7" t="s">
        <v>188</v>
      </c>
      <c r="I268" s="22"/>
      <c r="J268" s="22"/>
      <c r="K268" s="218"/>
      <c r="L268" s="316"/>
      <c r="M268" s="284">
        <f>M272+M269</f>
        <v>18000</v>
      </c>
      <c r="N268" s="22">
        <f>N272+N269</f>
        <v>6457</v>
      </c>
      <c r="O268" s="218">
        <f t="shared" si="22"/>
        <v>35.87222222222222</v>
      </c>
      <c r="P268" s="278"/>
      <c r="Q268" s="323">
        <f t="shared" si="26"/>
        <v>18000</v>
      </c>
      <c r="R268" s="80">
        <f t="shared" si="26"/>
        <v>6457</v>
      </c>
      <c r="S268" s="219">
        <f t="shared" si="24"/>
        <v>35.87222222222222</v>
      </c>
    </row>
    <row r="269" spans="2:19" x14ac:dyDescent="0.2">
      <c r="B269" s="78">
        <f t="shared" si="25"/>
        <v>56</v>
      </c>
      <c r="C269" s="3"/>
      <c r="D269" s="3"/>
      <c r="E269" s="3"/>
      <c r="F269" s="25" t="s">
        <v>156</v>
      </c>
      <c r="G269" s="3">
        <v>716</v>
      </c>
      <c r="H269" s="3" t="s">
        <v>231</v>
      </c>
      <c r="I269" s="18"/>
      <c r="J269" s="18"/>
      <c r="K269" s="218"/>
      <c r="L269" s="317"/>
      <c r="M269" s="285">
        <f>M270+M271</f>
        <v>9600</v>
      </c>
      <c r="N269" s="18">
        <f>N270+N271</f>
        <v>487</v>
      </c>
      <c r="O269" s="218">
        <f t="shared" si="22"/>
        <v>5.072916666666667</v>
      </c>
      <c r="P269" s="279"/>
      <c r="Q269" s="324">
        <f t="shared" si="26"/>
        <v>9600</v>
      </c>
      <c r="R269" s="81">
        <f t="shared" si="26"/>
        <v>487</v>
      </c>
      <c r="S269" s="219">
        <f t="shared" si="24"/>
        <v>5.072916666666667</v>
      </c>
    </row>
    <row r="270" spans="2:19" x14ac:dyDescent="0.2">
      <c r="B270" s="78">
        <f t="shared" si="25"/>
        <v>57</v>
      </c>
      <c r="C270" s="4"/>
      <c r="D270" s="4"/>
      <c r="E270" s="4"/>
      <c r="F270" s="26"/>
      <c r="G270" s="4"/>
      <c r="H270" s="4" t="s">
        <v>361</v>
      </c>
      <c r="I270" s="20"/>
      <c r="J270" s="20"/>
      <c r="K270" s="218"/>
      <c r="L270" s="319"/>
      <c r="M270" s="286">
        <v>9000</v>
      </c>
      <c r="N270" s="20"/>
      <c r="O270" s="218">
        <f t="shared" si="22"/>
        <v>0</v>
      </c>
      <c r="P270" s="280"/>
      <c r="Q270" s="326">
        <f t="shared" si="26"/>
        <v>9000</v>
      </c>
      <c r="R270" s="82">
        <f t="shared" si="26"/>
        <v>0</v>
      </c>
      <c r="S270" s="219">
        <f t="shared" si="24"/>
        <v>0</v>
      </c>
    </row>
    <row r="271" spans="2:19" x14ac:dyDescent="0.2">
      <c r="B271" s="78">
        <f t="shared" si="25"/>
        <v>58</v>
      </c>
      <c r="C271" s="4"/>
      <c r="D271" s="4"/>
      <c r="E271" s="4"/>
      <c r="F271" s="26"/>
      <c r="G271" s="4"/>
      <c r="H271" s="4" t="s">
        <v>570</v>
      </c>
      <c r="I271" s="20"/>
      <c r="J271" s="20"/>
      <c r="K271" s="218"/>
      <c r="L271" s="319"/>
      <c r="M271" s="286">
        <v>600</v>
      </c>
      <c r="N271" s="20">
        <v>487</v>
      </c>
      <c r="O271" s="218">
        <f t="shared" si="22"/>
        <v>81.166666666666671</v>
      </c>
      <c r="P271" s="280"/>
      <c r="Q271" s="326">
        <f t="shared" si="26"/>
        <v>600</v>
      </c>
      <c r="R271" s="82">
        <f t="shared" si="26"/>
        <v>487</v>
      </c>
      <c r="S271" s="219">
        <f t="shared" si="24"/>
        <v>81.166666666666671</v>
      </c>
    </row>
    <row r="272" spans="2:19" x14ac:dyDescent="0.2">
      <c r="B272" s="78">
        <f t="shared" si="25"/>
        <v>59</v>
      </c>
      <c r="C272" s="3"/>
      <c r="D272" s="3"/>
      <c r="E272" s="3"/>
      <c r="F272" s="25" t="s">
        <v>156</v>
      </c>
      <c r="G272" s="3">
        <v>717</v>
      </c>
      <c r="H272" s="3" t="s">
        <v>198</v>
      </c>
      <c r="I272" s="18"/>
      <c r="J272" s="18"/>
      <c r="K272" s="218"/>
      <c r="L272" s="317"/>
      <c r="M272" s="285">
        <f>SUM(M273:M274)</f>
        <v>8400</v>
      </c>
      <c r="N272" s="18">
        <f>SUM(N273:N274)</f>
        <v>5970</v>
      </c>
      <c r="O272" s="218">
        <f t="shared" si="22"/>
        <v>71.071428571428569</v>
      </c>
      <c r="P272" s="279"/>
      <c r="Q272" s="324">
        <f t="shared" si="26"/>
        <v>8400</v>
      </c>
      <c r="R272" s="81">
        <f t="shared" si="26"/>
        <v>5970</v>
      </c>
      <c r="S272" s="219">
        <f t="shared" si="24"/>
        <v>71.071428571428569</v>
      </c>
    </row>
    <row r="273" spans="2:19" x14ac:dyDescent="0.2">
      <c r="B273" s="78">
        <f t="shared" si="25"/>
        <v>60</v>
      </c>
      <c r="C273" s="4"/>
      <c r="D273" s="4"/>
      <c r="E273" s="4"/>
      <c r="F273" s="26"/>
      <c r="G273" s="4"/>
      <c r="H273" s="13" t="s">
        <v>444</v>
      </c>
      <c r="I273" s="20"/>
      <c r="J273" s="20"/>
      <c r="K273" s="218"/>
      <c r="L273" s="319"/>
      <c r="M273" s="286">
        <v>6000</v>
      </c>
      <c r="N273" s="20">
        <v>5970</v>
      </c>
      <c r="O273" s="218">
        <f t="shared" si="22"/>
        <v>99.5</v>
      </c>
      <c r="P273" s="280"/>
      <c r="Q273" s="326">
        <f t="shared" si="26"/>
        <v>6000</v>
      </c>
      <c r="R273" s="82">
        <f t="shared" si="26"/>
        <v>5970</v>
      </c>
      <c r="S273" s="219">
        <f t="shared" si="24"/>
        <v>99.5</v>
      </c>
    </row>
    <row r="274" spans="2:19" x14ac:dyDescent="0.2">
      <c r="B274" s="78">
        <f t="shared" si="25"/>
        <v>61</v>
      </c>
      <c r="C274" s="4"/>
      <c r="D274" s="4"/>
      <c r="E274" s="4"/>
      <c r="F274" s="26"/>
      <c r="G274" s="4"/>
      <c r="H274" s="13" t="s">
        <v>482</v>
      </c>
      <c r="I274" s="20"/>
      <c r="J274" s="20"/>
      <c r="K274" s="218"/>
      <c r="L274" s="319"/>
      <c r="M274" s="286">
        <f>3000-600</f>
        <v>2400</v>
      </c>
      <c r="N274" s="20"/>
      <c r="O274" s="218">
        <f t="shared" si="22"/>
        <v>0</v>
      </c>
      <c r="P274" s="280"/>
      <c r="Q274" s="326">
        <f t="shared" si="26"/>
        <v>2400</v>
      </c>
      <c r="R274" s="82">
        <f t="shared" si="26"/>
        <v>0</v>
      </c>
      <c r="S274" s="219">
        <f t="shared" si="24"/>
        <v>0</v>
      </c>
    </row>
    <row r="275" spans="2:19" ht="15" x14ac:dyDescent="0.2">
      <c r="B275" s="78">
        <f t="shared" si="25"/>
        <v>62</v>
      </c>
      <c r="C275" s="430">
        <v>7</v>
      </c>
      <c r="D275" s="505" t="s">
        <v>48</v>
      </c>
      <c r="E275" s="494"/>
      <c r="F275" s="494"/>
      <c r="G275" s="494"/>
      <c r="H275" s="495"/>
      <c r="I275" s="35">
        <f>I276</f>
        <v>2300</v>
      </c>
      <c r="J275" s="35">
        <f>J276</f>
        <v>378</v>
      </c>
      <c r="K275" s="218">
        <f t="shared" si="21"/>
        <v>16.434782608695652</v>
      </c>
      <c r="L275" s="315"/>
      <c r="M275" s="282">
        <v>0</v>
      </c>
      <c r="N275" s="35"/>
      <c r="O275" s="218"/>
      <c r="P275" s="276"/>
      <c r="Q275" s="322">
        <f t="shared" si="26"/>
        <v>2300</v>
      </c>
      <c r="R275" s="79">
        <f t="shared" si="26"/>
        <v>378</v>
      </c>
      <c r="S275" s="219">
        <f t="shared" si="24"/>
        <v>16.434782608695652</v>
      </c>
    </row>
    <row r="276" spans="2:19" ht="15" x14ac:dyDescent="0.25">
      <c r="B276" s="78">
        <f t="shared" si="25"/>
        <v>63</v>
      </c>
      <c r="C276" s="10"/>
      <c r="D276" s="10"/>
      <c r="E276" s="10">
        <v>2</v>
      </c>
      <c r="F276" s="27"/>
      <c r="G276" s="10"/>
      <c r="H276" s="10" t="s">
        <v>401</v>
      </c>
      <c r="I276" s="37">
        <f>I277</f>
        <v>2300</v>
      </c>
      <c r="J276" s="37">
        <f>J277</f>
        <v>378</v>
      </c>
      <c r="K276" s="218">
        <f t="shared" si="21"/>
        <v>16.434782608695652</v>
      </c>
      <c r="L276" s="318"/>
      <c r="M276" s="299"/>
      <c r="N276" s="37"/>
      <c r="O276" s="218"/>
      <c r="P276" s="295"/>
      <c r="Q276" s="325">
        <f t="shared" si="26"/>
        <v>2300</v>
      </c>
      <c r="R276" s="88">
        <f t="shared" si="26"/>
        <v>378</v>
      </c>
      <c r="S276" s="219">
        <f t="shared" si="24"/>
        <v>16.434782608695652</v>
      </c>
    </row>
    <row r="277" spans="2:19" x14ac:dyDescent="0.2">
      <c r="B277" s="78">
        <f t="shared" si="25"/>
        <v>64</v>
      </c>
      <c r="C277" s="7"/>
      <c r="D277" s="7"/>
      <c r="E277" s="7"/>
      <c r="F277" s="24" t="s">
        <v>233</v>
      </c>
      <c r="G277" s="7">
        <v>630</v>
      </c>
      <c r="H277" s="7" t="s">
        <v>133</v>
      </c>
      <c r="I277" s="22">
        <f>SUM(I278:I281)</f>
        <v>2300</v>
      </c>
      <c r="J277" s="22">
        <f>SUM(J278:J281)</f>
        <v>378</v>
      </c>
      <c r="K277" s="218">
        <f t="shared" ref="K277:K281" si="27">J277/I277*100</f>
        <v>16.434782608695652</v>
      </c>
      <c r="L277" s="316"/>
      <c r="M277" s="284"/>
      <c r="N277" s="22"/>
      <c r="O277" s="218"/>
      <c r="P277" s="278"/>
      <c r="Q277" s="323">
        <f t="shared" si="26"/>
        <v>2300</v>
      </c>
      <c r="R277" s="80">
        <f t="shared" si="26"/>
        <v>378</v>
      </c>
      <c r="S277" s="219">
        <f t="shared" ref="S277:S281" si="28">R277/Q277*100</f>
        <v>16.434782608695652</v>
      </c>
    </row>
    <row r="278" spans="2:19" x14ac:dyDescent="0.2">
      <c r="B278" s="78">
        <f t="shared" si="25"/>
        <v>65</v>
      </c>
      <c r="C278" s="3"/>
      <c r="D278" s="3"/>
      <c r="E278" s="3"/>
      <c r="F278" s="25" t="s">
        <v>233</v>
      </c>
      <c r="G278" s="3">
        <v>633</v>
      </c>
      <c r="H278" s="3" t="s">
        <v>137</v>
      </c>
      <c r="I278" s="18">
        <v>700</v>
      </c>
      <c r="J278" s="18">
        <v>192</v>
      </c>
      <c r="K278" s="218">
        <f t="shared" si="27"/>
        <v>27.428571428571431</v>
      </c>
      <c r="L278" s="317"/>
      <c r="M278" s="285"/>
      <c r="N278" s="18"/>
      <c r="O278" s="218"/>
      <c r="P278" s="279"/>
      <c r="Q278" s="324">
        <f t="shared" si="26"/>
        <v>700</v>
      </c>
      <c r="R278" s="81">
        <f t="shared" si="26"/>
        <v>192</v>
      </c>
      <c r="S278" s="219">
        <f t="shared" si="28"/>
        <v>27.428571428571431</v>
      </c>
    </row>
    <row r="279" spans="2:19" x14ac:dyDescent="0.2">
      <c r="B279" s="78">
        <f t="shared" si="25"/>
        <v>66</v>
      </c>
      <c r="C279" s="3"/>
      <c r="D279" s="3"/>
      <c r="E279" s="3"/>
      <c r="F279" s="25" t="s">
        <v>233</v>
      </c>
      <c r="G279" s="3">
        <v>634</v>
      </c>
      <c r="H279" s="3" t="s">
        <v>144</v>
      </c>
      <c r="I279" s="18">
        <v>400</v>
      </c>
      <c r="J279" s="18">
        <v>186</v>
      </c>
      <c r="K279" s="218">
        <f t="shared" si="27"/>
        <v>46.5</v>
      </c>
      <c r="L279" s="317"/>
      <c r="M279" s="285"/>
      <c r="N279" s="18"/>
      <c r="O279" s="218"/>
      <c r="P279" s="279"/>
      <c r="Q279" s="324">
        <f t="shared" ref="Q279:R281" si="29">I279+M279</f>
        <v>400</v>
      </c>
      <c r="R279" s="81">
        <f t="shared" si="29"/>
        <v>186</v>
      </c>
      <c r="S279" s="219">
        <f t="shared" si="28"/>
        <v>46.5</v>
      </c>
    </row>
    <row r="280" spans="2:19" x14ac:dyDescent="0.2">
      <c r="B280" s="78">
        <f t="shared" ref="B280:B281" si="30">B279+1</f>
        <v>67</v>
      </c>
      <c r="C280" s="3"/>
      <c r="D280" s="3"/>
      <c r="E280" s="3"/>
      <c r="F280" s="25" t="s">
        <v>233</v>
      </c>
      <c r="G280" s="3">
        <v>635</v>
      </c>
      <c r="H280" s="3" t="s">
        <v>145</v>
      </c>
      <c r="I280" s="18">
        <v>1000</v>
      </c>
      <c r="J280" s="18"/>
      <c r="K280" s="218">
        <f t="shared" si="27"/>
        <v>0</v>
      </c>
      <c r="L280" s="317"/>
      <c r="M280" s="285"/>
      <c r="N280" s="18"/>
      <c r="O280" s="218"/>
      <c r="P280" s="279"/>
      <c r="Q280" s="324">
        <f t="shared" si="29"/>
        <v>1000</v>
      </c>
      <c r="R280" s="81">
        <f t="shared" si="29"/>
        <v>0</v>
      </c>
      <c r="S280" s="219">
        <f t="shared" si="28"/>
        <v>0</v>
      </c>
    </row>
    <row r="281" spans="2:19" ht="13.5" thickBot="1" x14ac:dyDescent="0.25">
      <c r="B281" s="83">
        <f t="shared" si="30"/>
        <v>68</v>
      </c>
      <c r="C281" s="14"/>
      <c r="D281" s="14"/>
      <c r="E281" s="14"/>
      <c r="F281" s="84" t="s">
        <v>233</v>
      </c>
      <c r="G281" s="14">
        <v>637</v>
      </c>
      <c r="H281" s="14" t="s">
        <v>134</v>
      </c>
      <c r="I281" s="23">
        <v>200</v>
      </c>
      <c r="J281" s="23"/>
      <c r="K281" s="269">
        <f t="shared" si="27"/>
        <v>0</v>
      </c>
      <c r="L281" s="317"/>
      <c r="M281" s="320"/>
      <c r="N281" s="23"/>
      <c r="O281" s="269"/>
      <c r="P281" s="279"/>
      <c r="Q281" s="327">
        <f t="shared" si="29"/>
        <v>200</v>
      </c>
      <c r="R281" s="85">
        <f t="shared" si="29"/>
        <v>0</v>
      </c>
      <c r="S281" s="259">
        <f t="shared" si="28"/>
        <v>0</v>
      </c>
    </row>
    <row r="310" spans="2:19" ht="27.75" thickBot="1" x14ac:dyDescent="0.4">
      <c r="B310" s="515" t="s">
        <v>26</v>
      </c>
      <c r="C310" s="516"/>
      <c r="D310" s="516"/>
      <c r="E310" s="516"/>
      <c r="F310" s="516"/>
      <c r="G310" s="516"/>
      <c r="H310" s="516"/>
      <c r="I310" s="516"/>
      <c r="J310" s="516"/>
      <c r="K310" s="516"/>
      <c r="L310" s="516"/>
      <c r="M310" s="516"/>
      <c r="N310" s="516"/>
      <c r="O310" s="516"/>
      <c r="P310" s="516"/>
      <c r="Q310" s="516"/>
    </row>
    <row r="311" spans="2:19" ht="13.5" thickBot="1" x14ac:dyDescent="0.25">
      <c r="B311" s="531" t="s">
        <v>352</v>
      </c>
      <c r="C311" s="532"/>
      <c r="D311" s="532"/>
      <c r="E311" s="532"/>
      <c r="F311" s="532"/>
      <c r="G311" s="532"/>
      <c r="H311" s="532"/>
      <c r="I311" s="532"/>
      <c r="J311" s="532"/>
      <c r="K311" s="532"/>
      <c r="L311" s="532"/>
      <c r="M311" s="532"/>
      <c r="N311" s="532"/>
      <c r="O311" s="533"/>
      <c r="P311" s="422"/>
      <c r="Q311" s="520" t="s">
        <v>662</v>
      </c>
      <c r="R311" s="496" t="s">
        <v>668</v>
      </c>
      <c r="S311" s="499" t="s">
        <v>663</v>
      </c>
    </row>
    <row r="312" spans="2:19" x14ac:dyDescent="0.2">
      <c r="B312" s="522"/>
      <c r="C312" s="525" t="s">
        <v>126</v>
      </c>
      <c r="D312" s="525" t="s">
        <v>127</v>
      </c>
      <c r="E312" s="525"/>
      <c r="F312" s="525" t="s">
        <v>128</v>
      </c>
      <c r="G312" s="506" t="s">
        <v>129</v>
      </c>
      <c r="H312" s="509" t="s">
        <v>130</v>
      </c>
      <c r="I312" s="496" t="s">
        <v>664</v>
      </c>
      <c r="J312" s="496" t="s">
        <v>666</v>
      </c>
      <c r="K312" s="499" t="s">
        <v>663</v>
      </c>
      <c r="L312" s="423"/>
      <c r="M312" s="512" t="s">
        <v>665</v>
      </c>
      <c r="N312" s="496" t="s">
        <v>667</v>
      </c>
      <c r="O312" s="499" t="s">
        <v>663</v>
      </c>
      <c r="P312" s="423"/>
      <c r="Q312" s="521"/>
      <c r="R312" s="497"/>
      <c r="S312" s="500"/>
    </row>
    <row r="313" spans="2:19" x14ac:dyDescent="0.2">
      <c r="B313" s="523"/>
      <c r="C313" s="526"/>
      <c r="D313" s="526"/>
      <c r="E313" s="526"/>
      <c r="F313" s="526"/>
      <c r="G313" s="507"/>
      <c r="H313" s="510"/>
      <c r="I313" s="497"/>
      <c r="J313" s="497"/>
      <c r="K313" s="500"/>
      <c r="L313" s="423"/>
      <c r="M313" s="513"/>
      <c r="N313" s="497"/>
      <c r="O313" s="500"/>
      <c r="P313" s="423"/>
      <c r="Q313" s="521"/>
      <c r="R313" s="497"/>
      <c r="S313" s="500"/>
    </row>
    <row r="314" spans="2:19" x14ac:dyDescent="0.2">
      <c r="B314" s="523"/>
      <c r="C314" s="526"/>
      <c r="D314" s="526"/>
      <c r="E314" s="526"/>
      <c r="F314" s="526"/>
      <c r="G314" s="507"/>
      <c r="H314" s="510"/>
      <c r="I314" s="497"/>
      <c r="J314" s="497"/>
      <c r="K314" s="500"/>
      <c r="L314" s="423"/>
      <c r="M314" s="513"/>
      <c r="N314" s="497"/>
      <c r="O314" s="500"/>
      <c r="P314" s="423"/>
      <c r="Q314" s="521"/>
      <c r="R314" s="497"/>
      <c r="S314" s="500"/>
    </row>
    <row r="315" spans="2:19" ht="13.5" thickBot="1" x14ac:dyDescent="0.25">
      <c r="B315" s="524"/>
      <c r="C315" s="527"/>
      <c r="D315" s="527"/>
      <c r="E315" s="527"/>
      <c r="F315" s="527"/>
      <c r="G315" s="508"/>
      <c r="H315" s="511"/>
      <c r="I315" s="498"/>
      <c r="J315" s="498"/>
      <c r="K315" s="501"/>
      <c r="L315" s="423"/>
      <c r="M315" s="514"/>
      <c r="N315" s="498"/>
      <c r="O315" s="501"/>
      <c r="P315" s="423"/>
      <c r="Q315" s="521"/>
      <c r="R315" s="498"/>
      <c r="S315" s="501"/>
    </row>
    <row r="316" spans="2:19" ht="16.5" thickTop="1" x14ac:dyDescent="0.2">
      <c r="B316" s="78">
        <v>1</v>
      </c>
      <c r="C316" s="502" t="s">
        <v>26</v>
      </c>
      <c r="D316" s="503"/>
      <c r="E316" s="503"/>
      <c r="F316" s="503"/>
      <c r="G316" s="503"/>
      <c r="H316" s="504"/>
      <c r="I316" s="34">
        <f>I371+I368+I362+I338+I317</f>
        <v>1831905</v>
      </c>
      <c r="J316" s="34">
        <f>J371+J368+J362+J338+J317</f>
        <v>1755545</v>
      </c>
      <c r="K316" s="218">
        <f t="shared" ref="K316:K379" si="31">J316/I316*100</f>
        <v>95.831661576337197</v>
      </c>
      <c r="L316" s="288"/>
      <c r="M316" s="281">
        <f>M317+M338+M362+M368+M371</f>
        <v>128293</v>
      </c>
      <c r="N316" s="34">
        <f>N317+N338+N362+N368+N371</f>
        <v>41698</v>
      </c>
      <c r="O316" s="218">
        <f t="shared" ref="O316:O367" si="32">N316/M316*100</f>
        <v>32.502163017467829</v>
      </c>
      <c r="P316" s="288"/>
      <c r="Q316" s="321">
        <f t="shared" ref="Q316:R356" si="33">I316+M316</f>
        <v>1960198</v>
      </c>
      <c r="R316" s="87">
        <f t="shared" si="33"/>
        <v>1797243</v>
      </c>
      <c r="S316" s="219">
        <f t="shared" ref="S316:S379" si="34">R316/Q316*100</f>
        <v>91.686809189683899</v>
      </c>
    </row>
    <row r="317" spans="2:19" ht="15" x14ac:dyDescent="0.2">
      <c r="B317" s="78">
        <f>B316+1</f>
        <v>2</v>
      </c>
      <c r="C317" s="430">
        <v>1</v>
      </c>
      <c r="D317" s="505" t="s">
        <v>163</v>
      </c>
      <c r="E317" s="494"/>
      <c r="F317" s="494"/>
      <c r="G317" s="494"/>
      <c r="H317" s="495"/>
      <c r="I317" s="35">
        <f>I318+I319+I320+I328+I330+I331</f>
        <v>1223820</v>
      </c>
      <c r="J317" s="35">
        <f>J318+J319+J320+J328+J330+J331</f>
        <v>1181145</v>
      </c>
      <c r="K317" s="218">
        <f t="shared" si="31"/>
        <v>96.51296759327353</v>
      </c>
      <c r="L317" s="276"/>
      <c r="M317" s="282">
        <f>M331</f>
        <v>80883</v>
      </c>
      <c r="N317" s="35">
        <f>N331</f>
        <v>15909</v>
      </c>
      <c r="O317" s="218">
        <f t="shared" si="32"/>
        <v>19.669151737695188</v>
      </c>
      <c r="P317" s="276"/>
      <c r="Q317" s="322">
        <f t="shared" si="33"/>
        <v>1304703</v>
      </c>
      <c r="R317" s="79">
        <f t="shared" si="33"/>
        <v>1197054</v>
      </c>
      <c r="S317" s="219">
        <f t="shared" si="34"/>
        <v>91.749156704629328</v>
      </c>
    </row>
    <row r="318" spans="2:19" x14ac:dyDescent="0.2">
      <c r="B318" s="78">
        <f t="shared" ref="B318:B381" si="35">B317+1</f>
        <v>3</v>
      </c>
      <c r="C318" s="7"/>
      <c r="D318" s="7"/>
      <c r="E318" s="7"/>
      <c r="F318" s="24" t="s">
        <v>162</v>
      </c>
      <c r="G318" s="7">
        <v>610</v>
      </c>
      <c r="H318" s="7" t="s">
        <v>143</v>
      </c>
      <c r="I318" s="22">
        <f>750000-5000-2000</f>
        <v>743000</v>
      </c>
      <c r="J318" s="22">
        <v>729723</v>
      </c>
      <c r="K318" s="218">
        <f t="shared" si="31"/>
        <v>98.213055181695836</v>
      </c>
      <c r="L318" s="278"/>
      <c r="M318" s="284"/>
      <c r="N318" s="22"/>
      <c r="O318" s="218"/>
      <c r="P318" s="278"/>
      <c r="Q318" s="323">
        <f t="shared" si="33"/>
        <v>743000</v>
      </c>
      <c r="R318" s="80">
        <f t="shared" si="33"/>
        <v>729723</v>
      </c>
      <c r="S318" s="219">
        <f t="shared" si="34"/>
        <v>98.213055181695836</v>
      </c>
    </row>
    <row r="319" spans="2:19" x14ac:dyDescent="0.2">
      <c r="B319" s="78">
        <f t="shared" si="35"/>
        <v>4</v>
      </c>
      <c r="C319" s="7"/>
      <c r="D319" s="7"/>
      <c r="E319" s="7"/>
      <c r="F319" s="24" t="s">
        <v>162</v>
      </c>
      <c r="G319" s="7">
        <v>620</v>
      </c>
      <c r="H319" s="7" t="s">
        <v>136</v>
      </c>
      <c r="I319" s="22">
        <f>261000+7000</f>
        <v>268000</v>
      </c>
      <c r="J319" s="22">
        <v>264109</v>
      </c>
      <c r="K319" s="218">
        <f t="shared" si="31"/>
        <v>98.548134328358202</v>
      </c>
      <c r="L319" s="278"/>
      <c r="M319" s="284"/>
      <c r="N319" s="22"/>
      <c r="O319" s="218"/>
      <c r="P319" s="278"/>
      <c r="Q319" s="323">
        <f t="shared" si="33"/>
        <v>268000</v>
      </c>
      <c r="R319" s="80">
        <f t="shared" si="33"/>
        <v>264109</v>
      </c>
      <c r="S319" s="219">
        <f t="shared" si="34"/>
        <v>98.548134328358202</v>
      </c>
    </row>
    <row r="320" spans="2:19" x14ac:dyDescent="0.2">
      <c r="B320" s="78">
        <f t="shared" si="35"/>
        <v>5</v>
      </c>
      <c r="C320" s="7"/>
      <c r="D320" s="7"/>
      <c r="E320" s="7"/>
      <c r="F320" s="24" t="s">
        <v>162</v>
      </c>
      <c r="G320" s="7">
        <v>630</v>
      </c>
      <c r="H320" s="7" t="s">
        <v>133</v>
      </c>
      <c r="I320" s="22">
        <f>I327+I326+I325+I324+I323+I322+I321</f>
        <v>206650</v>
      </c>
      <c r="J320" s="22">
        <f>J327+J326+J325+J324+J323+J322+J321</f>
        <v>184587</v>
      </c>
      <c r="K320" s="218">
        <f t="shared" si="31"/>
        <v>89.323493830147598</v>
      </c>
      <c r="L320" s="278"/>
      <c r="M320" s="284"/>
      <c r="N320" s="22"/>
      <c r="O320" s="218"/>
      <c r="P320" s="278"/>
      <c r="Q320" s="323">
        <f t="shared" si="33"/>
        <v>206650</v>
      </c>
      <c r="R320" s="80">
        <f t="shared" si="33"/>
        <v>184587</v>
      </c>
      <c r="S320" s="219">
        <f t="shared" si="34"/>
        <v>89.323493830147598</v>
      </c>
    </row>
    <row r="321" spans="2:19" x14ac:dyDescent="0.2">
      <c r="B321" s="78">
        <f t="shared" si="35"/>
        <v>6</v>
      </c>
      <c r="C321" s="3"/>
      <c r="D321" s="3"/>
      <c r="E321" s="3"/>
      <c r="F321" s="25" t="s">
        <v>162</v>
      </c>
      <c r="G321" s="3">
        <v>631</v>
      </c>
      <c r="H321" s="3" t="s">
        <v>139</v>
      </c>
      <c r="I321" s="18">
        <f>8000-2000</f>
        <v>6000</v>
      </c>
      <c r="J321" s="18">
        <v>4357</v>
      </c>
      <c r="K321" s="218">
        <f t="shared" si="31"/>
        <v>72.61666666666666</v>
      </c>
      <c r="L321" s="279"/>
      <c r="M321" s="285"/>
      <c r="N321" s="18"/>
      <c r="O321" s="218"/>
      <c r="P321" s="279"/>
      <c r="Q321" s="324">
        <f t="shared" si="33"/>
        <v>6000</v>
      </c>
      <c r="R321" s="81">
        <f t="shared" si="33"/>
        <v>4357</v>
      </c>
      <c r="S321" s="219">
        <f t="shared" si="34"/>
        <v>72.61666666666666</v>
      </c>
    </row>
    <row r="322" spans="2:19" x14ac:dyDescent="0.2">
      <c r="B322" s="78">
        <f t="shared" si="35"/>
        <v>7</v>
      </c>
      <c r="C322" s="3"/>
      <c r="D322" s="3"/>
      <c r="E322" s="3"/>
      <c r="F322" s="25" t="s">
        <v>162</v>
      </c>
      <c r="G322" s="3">
        <v>632</v>
      </c>
      <c r="H322" s="3" t="s">
        <v>146</v>
      </c>
      <c r="I322" s="18">
        <v>26000</v>
      </c>
      <c r="J322" s="18">
        <v>16364</v>
      </c>
      <c r="K322" s="218">
        <f t="shared" si="31"/>
        <v>62.938461538461546</v>
      </c>
      <c r="L322" s="279"/>
      <c r="M322" s="285"/>
      <c r="N322" s="18"/>
      <c r="O322" s="218"/>
      <c r="P322" s="279"/>
      <c r="Q322" s="324">
        <f t="shared" si="33"/>
        <v>26000</v>
      </c>
      <c r="R322" s="81">
        <f t="shared" si="33"/>
        <v>16364</v>
      </c>
      <c r="S322" s="219">
        <f t="shared" si="34"/>
        <v>62.938461538461546</v>
      </c>
    </row>
    <row r="323" spans="2:19" x14ac:dyDescent="0.2">
      <c r="B323" s="78">
        <f t="shared" si="35"/>
        <v>8</v>
      </c>
      <c r="C323" s="3"/>
      <c r="D323" s="3"/>
      <c r="E323" s="3"/>
      <c r="F323" s="25" t="s">
        <v>162</v>
      </c>
      <c r="G323" s="3">
        <v>633</v>
      </c>
      <c r="H323" s="3" t="s">
        <v>137</v>
      </c>
      <c r="I323" s="18">
        <f>75250-1100-3000</f>
        <v>71150</v>
      </c>
      <c r="J323" s="18">
        <v>66066</v>
      </c>
      <c r="K323" s="218">
        <f t="shared" si="31"/>
        <v>92.854532677442023</v>
      </c>
      <c r="L323" s="279"/>
      <c r="M323" s="285"/>
      <c r="N323" s="18"/>
      <c r="O323" s="218"/>
      <c r="P323" s="279"/>
      <c r="Q323" s="324">
        <f t="shared" si="33"/>
        <v>71150</v>
      </c>
      <c r="R323" s="81">
        <f t="shared" si="33"/>
        <v>66066</v>
      </c>
      <c r="S323" s="219">
        <f t="shared" si="34"/>
        <v>92.854532677442023</v>
      </c>
    </row>
    <row r="324" spans="2:19" x14ac:dyDescent="0.2">
      <c r="B324" s="78">
        <f t="shared" si="35"/>
        <v>9</v>
      </c>
      <c r="C324" s="3"/>
      <c r="D324" s="3"/>
      <c r="E324" s="3"/>
      <c r="F324" s="25" t="s">
        <v>162</v>
      </c>
      <c r="G324" s="3">
        <v>634</v>
      </c>
      <c r="H324" s="3" t="s">
        <v>144</v>
      </c>
      <c r="I324" s="18">
        <v>34530</v>
      </c>
      <c r="J324" s="18">
        <v>31630</v>
      </c>
      <c r="K324" s="218">
        <f t="shared" si="31"/>
        <v>91.601505936866488</v>
      </c>
      <c r="L324" s="279"/>
      <c r="M324" s="285"/>
      <c r="N324" s="18"/>
      <c r="O324" s="218"/>
      <c r="P324" s="279"/>
      <c r="Q324" s="324">
        <f t="shared" si="33"/>
        <v>34530</v>
      </c>
      <c r="R324" s="81">
        <f t="shared" si="33"/>
        <v>31630</v>
      </c>
      <c r="S324" s="219">
        <f t="shared" si="34"/>
        <v>91.601505936866488</v>
      </c>
    </row>
    <row r="325" spans="2:19" x14ac:dyDescent="0.2">
      <c r="B325" s="78">
        <f t="shared" si="35"/>
        <v>10</v>
      </c>
      <c r="C325" s="3"/>
      <c r="D325" s="3"/>
      <c r="E325" s="3"/>
      <c r="F325" s="25" t="s">
        <v>162</v>
      </c>
      <c r="G325" s="3">
        <v>635</v>
      </c>
      <c r="H325" s="3" t="s">
        <v>145</v>
      </c>
      <c r="I325" s="18">
        <f>7000+8500</f>
        <v>15500</v>
      </c>
      <c r="J325" s="18">
        <v>15272</v>
      </c>
      <c r="K325" s="218">
        <f t="shared" si="31"/>
        <v>98.529032258064518</v>
      </c>
      <c r="L325" s="279"/>
      <c r="M325" s="285"/>
      <c r="N325" s="18"/>
      <c r="O325" s="218"/>
      <c r="P325" s="279"/>
      <c r="Q325" s="324">
        <f t="shared" si="33"/>
        <v>15500</v>
      </c>
      <c r="R325" s="81">
        <f t="shared" si="33"/>
        <v>15272</v>
      </c>
      <c r="S325" s="219">
        <f t="shared" si="34"/>
        <v>98.529032258064518</v>
      </c>
    </row>
    <row r="326" spans="2:19" x14ac:dyDescent="0.2">
      <c r="B326" s="78">
        <f t="shared" si="35"/>
        <v>11</v>
      </c>
      <c r="C326" s="3"/>
      <c r="D326" s="3"/>
      <c r="E326" s="3"/>
      <c r="F326" s="25" t="s">
        <v>162</v>
      </c>
      <c r="G326" s="3">
        <v>636</v>
      </c>
      <c r="H326" s="3" t="s">
        <v>138</v>
      </c>
      <c r="I326" s="18">
        <f>900+1100</f>
        <v>2000</v>
      </c>
      <c r="J326" s="18">
        <v>1912</v>
      </c>
      <c r="K326" s="218">
        <f t="shared" si="31"/>
        <v>95.6</v>
      </c>
      <c r="L326" s="279"/>
      <c r="M326" s="285"/>
      <c r="N326" s="18"/>
      <c r="O326" s="218"/>
      <c r="P326" s="279"/>
      <c r="Q326" s="324">
        <f t="shared" si="33"/>
        <v>2000</v>
      </c>
      <c r="R326" s="81">
        <f t="shared" si="33"/>
        <v>1912</v>
      </c>
      <c r="S326" s="219">
        <f t="shared" si="34"/>
        <v>95.6</v>
      </c>
    </row>
    <row r="327" spans="2:19" x14ac:dyDescent="0.2">
      <c r="B327" s="78">
        <f t="shared" si="35"/>
        <v>12</v>
      </c>
      <c r="C327" s="3"/>
      <c r="D327" s="3"/>
      <c r="E327" s="3"/>
      <c r="F327" s="25" t="s">
        <v>162</v>
      </c>
      <c r="G327" s="3">
        <v>637</v>
      </c>
      <c r="H327" s="3" t="s">
        <v>134</v>
      </c>
      <c r="I327" s="18">
        <v>51470</v>
      </c>
      <c r="J327" s="18">
        <v>48986</v>
      </c>
      <c r="K327" s="218">
        <f t="shared" si="31"/>
        <v>95.173887701573733</v>
      </c>
      <c r="L327" s="279"/>
      <c r="M327" s="285"/>
      <c r="N327" s="18"/>
      <c r="O327" s="218"/>
      <c r="P327" s="279"/>
      <c r="Q327" s="324">
        <f t="shared" si="33"/>
        <v>51470</v>
      </c>
      <c r="R327" s="81">
        <f t="shared" si="33"/>
        <v>48986</v>
      </c>
      <c r="S327" s="219">
        <f t="shared" si="34"/>
        <v>95.173887701573733</v>
      </c>
    </row>
    <row r="328" spans="2:19" x14ac:dyDescent="0.2">
      <c r="B328" s="78">
        <f t="shared" si="35"/>
        <v>13</v>
      </c>
      <c r="C328" s="7"/>
      <c r="D328" s="7"/>
      <c r="E328" s="7"/>
      <c r="F328" s="24" t="s">
        <v>170</v>
      </c>
      <c r="G328" s="7">
        <v>630</v>
      </c>
      <c r="H328" s="7" t="s">
        <v>133</v>
      </c>
      <c r="I328" s="22">
        <f>I329</f>
        <v>500</v>
      </c>
      <c r="J328" s="22">
        <f>J329</f>
        <v>0</v>
      </c>
      <c r="K328" s="218">
        <f t="shared" si="31"/>
        <v>0</v>
      </c>
      <c r="L328" s="278"/>
      <c r="M328" s="284"/>
      <c r="N328" s="22"/>
      <c r="O328" s="218"/>
      <c r="P328" s="278"/>
      <c r="Q328" s="323">
        <f t="shared" si="33"/>
        <v>500</v>
      </c>
      <c r="R328" s="80">
        <f t="shared" si="33"/>
        <v>0</v>
      </c>
      <c r="S328" s="219">
        <f t="shared" si="34"/>
        <v>0</v>
      </c>
    </row>
    <row r="329" spans="2:19" x14ac:dyDescent="0.2">
      <c r="B329" s="78">
        <f t="shared" si="35"/>
        <v>14</v>
      </c>
      <c r="C329" s="3"/>
      <c r="D329" s="3"/>
      <c r="E329" s="3"/>
      <c r="F329" s="25" t="s">
        <v>170</v>
      </c>
      <c r="G329" s="3">
        <v>637</v>
      </c>
      <c r="H329" s="3" t="s">
        <v>134</v>
      </c>
      <c r="I329" s="18">
        <v>500</v>
      </c>
      <c r="J329" s="18">
        <v>0</v>
      </c>
      <c r="K329" s="218">
        <f t="shared" si="31"/>
        <v>0</v>
      </c>
      <c r="L329" s="279"/>
      <c r="M329" s="285"/>
      <c r="N329" s="18"/>
      <c r="O329" s="218"/>
      <c r="P329" s="279"/>
      <c r="Q329" s="324">
        <f t="shared" si="33"/>
        <v>500</v>
      </c>
      <c r="R329" s="81">
        <f t="shared" si="33"/>
        <v>0</v>
      </c>
      <c r="S329" s="219">
        <f t="shared" si="34"/>
        <v>0</v>
      </c>
    </row>
    <row r="330" spans="2:19" x14ac:dyDescent="0.2">
      <c r="B330" s="78">
        <f t="shared" si="35"/>
        <v>15</v>
      </c>
      <c r="C330" s="7"/>
      <c r="D330" s="7"/>
      <c r="E330" s="7"/>
      <c r="F330" s="24" t="s">
        <v>162</v>
      </c>
      <c r="G330" s="7">
        <v>640</v>
      </c>
      <c r="H330" s="7" t="s">
        <v>141</v>
      </c>
      <c r="I330" s="22">
        <f>670+5000</f>
        <v>5670</v>
      </c>
      <c r="J330" s="22">
        <v>2726</v>
      </c>
      <c r="K330" s="218">
        <f t="shared" si="31"/>
        <v>48.077601410934747</v>
      </c>
      <c r="L330" s="278"/>
      <c r="M330" s="284"/>
      <c r="N330" s="22"/>
      <c r="O330" s="218"/>
      <c r="P330" s="278"/>
      <c r="Q330" s="323">
        <f t="shared" si="33"/>
        <v>5670</v>
      </c>
      <c r="R330" s="80">
        <f t="shared" si="33"/>
        <v>2726</v>
      </c>
      <c r="S330" s="219">
        <f t="shared" si="34"/>
        <v>48.077601410934747</v>
      </c>
    </row>
    <row r="331" spans="2:19" x14ac:dyDescent="0.2">
      <c r="B331" s="78">
        <f t="shared" si="35"/>
        <v>16</v>
      </c>
      <c r="C331" s="7"/>
      <c r="D331" s="7"/>
      <c r="E331" s="7"/>
      <c r="F331" s="24" t="s">
        <v>162</v>
      </c>
      <c r="G331" s="7">
        <v>710</v>
      </c>
      <c r="H331" s="7" t="s">
        <v>188</v>
      </c>
      <c r="I331" s="22"/>
      <c r="J331" s="22"/>
      <c r="K331" s="218"/>
      <c r="L331" s="278"/>
      <c r="M331" s="284">
        <f>M332+M334+M336</f>
        <v>80883</v>
      </c>
      <c r="N331" s="22">
        <f>N332+N334+N336</f>
        <v>15909</v>
      </c>
      <c r="O331" s="218">
        <f t="shared" si="32"/>
        <v>19.669151737695188</v>
      </c>
      <c r="P331" s="278"/>
      <c r="Q331" s="323">
        <f t="shared" si="33"/>
        <v>80883</v>
      </c>
      <c r="R331" s="80">
        <f t="shared" si="33"/>
        <v>15909</v>
      </c>
      <c r="S331" s="219">
        <f t="shared" si="34"/>
        <v>19.669151737695188</v>
      </c>
    </row>
    <row r="332" spans="2:19" x14ac:dyDescent="0.2">
      <c r="B332" s="78">
        <f t="shared" si="35"/>
        <v>17</v>
      </c>
      <c r="C332" s="3"/>
      <c r="D332" s="3"/>
      <c r="E332" s="3"/>
      <c r="F332" s="25" t="s">
        <v>162</v>
      </c>
      <c r="G332" s="3">
        <v>713</v>
      </c>
      <c r="H332" s="3" t="s">
        <v>234</v>
      </c>
      <c r="I332" s="18"/>
      <c r="J332" s="18"/>
      <c r="K332" s="218"/>
      <c r="L332" s="279"/>
      <c r="M332" s="285">
        <f>M333</f>
        <v>2200</v>
      </c>
      <c r="N332" s="18">
        <f>N333</f>
        <v>0</v>
      </c>
      <c r="O332" s="218">
        <f t="shared" si="32"/>
        <v>0</v>
      </c>
      <c r="P332" s="279"/>
      <c r="Q332" s="324">
        <f t="shared" si="33"/>
        <v>2200</v>
      </c>
      <c r="R332" s="81">
        <f t="shared" si="33"/>
        <v>0</v>
      </c>
      <c r="S332" s="219">
        <f t="shared" si="34"/>
        <v>0</v>
      </c>
    </row>
    <row r="333" spans="2:19" x14ac:dyDescent="0.2">
      <c r="B333" s="78">
        <f t="shared" si="35"/>
        <v>18</v>
      </c>
      <c r="C333" s="4"/>
      <c r="D333" s="4"/>
      <c r="E333" s="4"/>
      <c r="F333" s="30"/>
      <c r="G333" s="4"/>
      <c r="H333" s="4" t="s">
        <v>362</v>
      </c>
      <c r="I333" s="20"/>
      <c r="J333" s="20"/>
      <c r="K333" s="218"/>
      <c r="L333" s="280"/>
      <c r="M333" s="286">
        <f>2500-300</f>
        <v>2200</v>
      </c>
      <c r="N333" s="20">
        <v>0</v>
      </c>
      <c r="O333" s="218">
        <f t="shared" si="32"/>
        <v>0</v>
      </c>
      <c r="P333" s="280"/>
      <c r="Q333" s="326">
        <f t="shared" si="33"/>
        <v>2200</v>
      </c>
      <c r="R333" s="82">
        <f t="shared" si="33"/>
        <v>0</v>
      </c>
      <c r="S333" s="219">
        <f t="shared" si="34"/>
        <v>0</v>
      </c>
    </row>
    <row r="334" spans="2:19" x14ac:dyDescent="0.2">
      <c r="B334" s="78">
        <f t="shared" si="35"/>
        <v>19</v>
      </c>
      <c r="C334" s="3"/>
      <c r="D334" s="3"/>
      <c r="E334" s="3"/>
      <c r="F334" s="25" t="s">
        <v>162</v>
      </c>
      <c r="G334" s="3">
        <v>714</v>
      </c>
      <c r="H334" s="3" t="s">
        <v>189</v>
      </c>
      <c r="I334" s="18"/>
      <c r="J334" s="18"/>
      <c r="K334" s="218"/>
      <c r="L334" s="279"/>
      <c r="M334" s="285">
        <f>SUM(M335:M335)</f>
        <v>75300</v>
      </c>
      <c r="N334" s="18">
        <f>SUM(N335:N335)</f>
        <v>15909</v>
      </c>
      <c r="O334" s="218">
        <f t="shared" si="32"/>
        <v>21.127490039840637</v>
      </c>
      <c r="P334" s="279"/>
      <c r="Q334" s="324">
        <f t="shared" si="33"/>
        <v>75300</v>
      </c>
      <c r="R334" s="81">
        <f t="shared" si="33"/>
        <v>15909</v>
      </c>
      <c r="S334" s="219">
        <f t="shared" si="34"/>
        <v>21.127490039840637</v>
      </c>
    </row>
    <row r="335" spans="2:19" x14ac:dyDescent="0.2">
      <c r="B335" s="78">
        <f t="shared" si="35"/>
        <v>20</v>
      </c>
      <c r="C335" s="4"/>
      <c r="D335" s="4"/>
      <c r="E335" s="4"/>
      <c r="F335" s="30"/>
      <c r="G335" s="4"/>
      <c r="H335" s="13" t="s">
        <v>491</v>
      </c>
      <c r="I335" s="20"/>
      <c r="J335" s="20"/>
      <c r="K335" s="218"/>
      <c r="L335" s="280"/>
      <c r="M335" s="286">
        <f>75000+300</f>
        <v>75300</v>
      </c>
      <c r="N335" s="20">
        <v>15909</v>
      </c>
      <c r="O335" s="218">
        <f t="shared" si="32"/>
        <v>21.127490039840637</v>
      </c>
      <c r="P335" s="280"/>
      <c r="Q335" s="326">
        <f t="shared" si="33"/>
        <v>75300</v>
      </c>
      <c r="R335" s="82">
        <f t="shared" si="33"/>
        <v>15909</v>
      </c>
      <c r="S335" s="219">
        <f t="shared" si="34"/>
        <v>21.127490039840637</v>
      </c>
    </row>
    <row r="336" spans="2:19" x14ac:dyDescent="0.2">
      <c r="B336" s="78">
        <f t="shared" si="35"/>
        <v>21</v>
      </c>
      <c r="C336" s="4"/>
      <c r="D336" s="4"/>
      <c r="E336" s="4"/>
      <c r="F336" s="30"/>
      <c r="G336" s="3">
        <v>717</v>
      </c>
      <c r="H336" s="3" t="s">
        <v>198</v>
      </c>
      <c r="I336" s="20"/>
      <c r="J336" s="20"/>
      <c r="K336" s="218"/>
      <c r="L336" s="280"/>
      <c r="M336" s="285">
        <f>M337</f>
        <v>3383</v>
      </c>
      <c r="N336" s="18">
        <f>N337</f>
        <v>0</v>
      </c>
      <c r="O336" s="218">
        <f t="shared" si="32"/>
        <v>0</v>
      </c>
      <c r="P336" s="279"/>
      <c r="Q336" s="324">
        <f t="shared" si="33"/>
        <v>3383</v>
      </c>
      <c r="R336" s="81">
        <f t="shared" si="33"/>
        <v>0</v>
      </c>
      <c r="S336" s="219">
        <f t="shared" si="34"/>
        <v>0</v>
      </c>
    </row>
    <row r="337" spans="2:19" x14ac:dyDescent="0.2">
      <c r="B337" s="78">
        <f t="shared" si="35"/>
        <v>22</v>
      </c>
      <c r="C337" s="4"/>
      <c r="D337" s="4"/>
      <c r="E337" s="4"/>
      <c r="F337" s="30"/>
      <c r="G337" s="4"/>
      <c r="H337" s="13" t="s">
        <v>548</v>
      </c>
      <c r="I337" s="20"/>
      <c r="J337" s="20"/>
      <c r="K337" s="218"/>
      <c r="L337" s="280"/>
      <c r="M337" s="286">
        <v>3383</v>
      </c>
      <c r="N337" s="20">
        <v>0</v>
      </c>
      <c r="O337" s="218">
        <f t="shared" si="32"/>
        <v>0</v>
      </c>
      <c r="P337" s="280"/>
      <c r="Q337" s="326">
        <f t="shared" si="33"/>
        <v>3383</v>
      </c>
      <c r="R337" s="82">
        <f t="shared" si="33"/>
        <v>0</v>
      </c>
      <c r="S337" s="219">
        <f t="shared" si="34"/>
        <v>0</v>
      </c>
    </row>
    <row r="338" spans="2:19" ht="15" x14ac:dyDescent="0.2">
      <c r="B338" s="78">
        <f t="shared" si="35"/>
        <v>23</v>
      </c>
      <c r="C338" s="430">
        <v>2</v>
      </c>
      <c r="D338" s="505" t="s">
        <v>221</v>
      </c>
      <c r="E338" s="494"/>
      <c r="F338" s="494"/>
      <c r="G338" s="494"/>
      <c r="H338" s="495"/>
      <c r="I338" s="35">
        <f>I339+I348</f>
        <v>569915</v>
      </c>
      <c r="J338" s="35">
        <f>J339+J348</f>
        <v>540335</v>
      </c>
      <c r="K338" s="218">
        <f t="shared" si="31"/>
        <v>94.809752331488028</v>
      </c>
      <c r="L338" s="276"/>
      <c r="M338" s="282">
        <f>M348+M341</f>
        <v>44410</v>
      </c>
      <c r="N338" s="35">
        <f>N348+N341</f>
        <v>24755</v>
      </c>
      <c r="O338" s="218">
        <f t="shared" si="32"/>
        <v>55.741950011258723</v>
      </c>
      <c r="P338" s="276"/>
      <c r="Q338" s="322">
        <f t="shared" si="33"/>
        <v>614325</v>
      </c>
      <c r="R338" s="79">
        <f t="shared" si="33"/>
        <v>565090</v>
      </c>
      <c r="S338" s="219">
        <f t="shared" si="34"/>
        <v>91.985512554429661</v>
      </c>
    </row>
    <row r="339" spans="2:19" x14ac:dyDescent="0.2">
      <c r="B339" s="78">
        <f t="shared" si="35"/>
        <v>24</v>
      </c>
      <c r="C339" s="7"/>
      <c r="D339" s="7"/>
      <c r="E339" s="7"/>
      <c r="F339" s="24" t="s">
        <v>220</v>
      </c>
      <c r="G339" s="7">
        <v>630</v>
      </c>
      <c r="H339" s="7" t="s">
        <v>133</v>
      </c>
      <c r="I339" s="22">
        <f>I340</f>
        <v>300</v>
      </c>
      <c r="J339" s="22">
        <f>J340</f>
        <v>121</v>
      </c>
      <c r="K339" s="218">
        <f t="shared" si="31"/>
        <v>40.333333333333329</v>
      </c>
      <c r="L339" s="278"/>
      <c r="M339" s="284"/>
      <c r="N339" s="22"/>
      <c r="O339" s="218"/>
      <c r="P339" s="278"/>
      <c r="Q339" s="323">
        <f t="shared" si="33"/>
        <v>300</v>
      </c>
      <c r="R339" s="80">
        <f t="shared" si="33"/>
        <v>121</v>
      </c>
      <c r="S339" s="219">
        <f t="shared" si="34"/>
        <v>40.333333333333329</v>
      </c>
    </row>
    <row r="340" spans="2:19" x14ac:dyDescent="0.2">
      <c r="B340" s="78">
        <f t="shared" si="35"/>
        <v>25</v>
      </c>
      <c r="C340" s="3"/>
      <c r="D340" s="3"/>
      <c r="E340" s="3"/>
      <c r="F340" s="25" t="s">
        <v>220</v>
      </c>
      <c r="G340" s="3">
        <v>632</v>
      </c>
      <c r="H340" s="3" t="s">
        <v>146</v>
      </c>
      <c r="I340" s="18">
        <v>300</v>
      </c>
      <c r="J340" s="18">
        <v>121</v>
      </c>
      <c r="K340" s="218">
        <f t="shared" si="31"/>
        <v>40.333333333333329</v>
      </c>
      <c r="L340" s="279"/>
      <c r="M340" s="285"/>
      <c r="N340" s="18"/>
      <c r="O340" s="218"/>
      <c r="P340" s="279"/>
      <c r="Q340" s="324">
        <f t="shared" si="33"/>
        <v>300</v>
      </c>
      <c r="R340" s="81">
        <f t="shared" si="33"/>
        <v>121</v>
      </c>
      <c r="S340" s="219">
        <f t="shared" si="34"/>
        <v>40.333333333333329</v>
      </c>
    </row>
    <row r="341" spans="2:19" x14ac:dyDescent="0.2">
      <c r="B341" s="78">
        <f t="shared" si="35"/>
        <v>26</v>
      </c>
      <c r="C341" s="3"/>
      <c r="D341" s="3"/>
      <c r="E341" s="3"/>
      <c r="F341" s="24" t="s">
        <v>220</v>
      </c>
      <c r="G341" s="7">
        <v>710</v>
      </c>
      <c r="H341" s="7" t="s">
        <v>188</v>
      </c>
      <c r="I341" s="22"/>
      <c r="J341" s="22"/>
      <c r="K341" s="218"/>
      <c r="L341" s="278"/>
      <c r="M341" s="284">
        <f>M346+M343+M342</f>
        <v>36860</v>
      </c>
      <c r="N341" s="22">
        <f>N346+N343+N342</f>
        <v>17233</v>
      </c>
      <c r="O341" s="218">
        <f t="shared" si="32"/>
        <v>46.75257731958763</v>
      </c>
      <c r="P341" s="278"/>
      <c r="Q341" s="323">
        <f t="shared" si="33"/>
        <v>36860</v>
      </c>
      <c r="R341" s="80">
        <f t="shared" si="33"/>
        <v>17233</v>
      </c>
      <c r="S341" s="219">
        <f t="shared" si="34"/>
        <v>46.75257731958763</v>
      </c>
    </row>
    <row r="342" spans="2:19" x14ac:dyDescent="0.2">
      <c r="B342" s="78">
        <f t="shared" si="35"/>
        <v>27</v>
      </c>
      <c r="C342" s="3"/>
      <c r="D342" s="3"/>
      <c r="E342" s="3"/>
      <c r="F342" s="25" t="s">
        <v>220</v>
      </c>
      <c r="G342" s="3">
        <v>713</v>
      </c>
      <c r="H342" s="3" t="s">
        <v>622</v>
      </c>
      <c r="I342" s="22"/>
      <c r="J342" s="22"/>
      <c r="K342" s="218"/>
      <c r="L342" s="278"/>
      <c r="M342" s="300">
        <v>16860</v>
      </c>
      <c r="N342" s="19">
        <v>16860</v>
      </c>
      <c r="O342" s="218">
        <f t="shared" si="32"/>
        <v>100</v>
      </c>
      <c r="P342" s="279"/>
      <c r="Q342" s="332">
        <f t="shared" si="33"/>
        <v>16860</v>
      </c>
      <c r="R342" s="109">
        <f t="shared" si="33"/>
        <v>16860</v>
      </c>
      <c r="S342" s="219">
        <f t="shared" si="34"/>
        <v>100</v>
      </c>
    </row>
    <row r="343" spans="2:19" x14ac:dyDescent="0.2">
      <c r="B343" s="78">
        <f t="shared" si="35"/>
        <v>28</v>
      </c>
      <c r="C343" s="3"/>
      <c r="D343" s="3"/>
      <c r="E343" s="3"/>
      <c r="F343" s="25" t="s">
        <v>220</v>
      </c>
      <c r="G343" s="3">
        <v>716</v>
      </c>
      <c r="H343" s="3" t="s">
        <v>231</v>
      </c>
      <c r="I343" s="22"/>
      <c r="J343" s="22"/>
      <c r="K343" s="218"/>
      <c r="L343" s="278"/>
      <c r="M343" s="300">
        <f>M344+M345</f>
        <v>12000</v>
      </c>
      <c r="N343" s="19">
        <f>N344+N345</f>
        <v>373</v>
      </c>
      <c r="O343" s="218">
        <f t="shared" si="32"/>
        <v>3.1083333333333334</v>
      </c>
      <c r="P343" s="279"/>
      <c r="Q343" s="332">
        <f t="shared" si="33"/>
        <v>12000</v>
      </c>
      <c r="R343" s="109">
        <f t="shared" si="33"/>
        <v>373</v>
      </c>
      <c r="S343" s="219">
        <f t="shared" si="34"/>
        <v>3.1083333333333334</v>
      </c>
    </row>
    <row r="344" spans="2:19" x14ac:dyDescent="0.2">
      <c r="B344" s="78">
        <f t="shared" si="35"/>
        <v>29</v>
      </c>
      <c r="C344" s="3"/>
      <c r="D344" s="3"/>
      <c r="E344" s="3"/>
      <c r="F344" s="26"/>
      <c r="G344" s="4"/>
      <c r="H344" s="4" t="s">
        <v>571</v>
      </c>
      <c r="I344" s="22"/>
      <c r="J344" s="22"/>
      <c r="K344" s="218"/>
      <c r="L344" s="278"/>
      <c r="M344" s="330">
        <v>11000</v>
      </c>
      <c r="N344" s="148"/>
      <c r="O344" s="218">
        <f t="shared" si="32"/>
        <v>0</v>
      </c>
      <c r="P344" s="328"/>
      <c r="Q344" s="333">
        <f t="shared" si="33"/>
        <v>11000</v>
      </c>
      <c r="R344" s="178">
        <f t="shared" si="33"/>
        <v>0</v>
      </c>
      <c r="S344" s="219">
        <f t="shared" si="34"/>
        <v>0</v>
      </c>
    </row>
    <row r="345" spans="2:19" x14ac:dyDescent="0.2">
      <c r="B345" s="78">
        <f t="shared" si="35"/>
        <v>30</v>
      </c>
      <c r="C345" s="3"/>
      <c r="D345" s="3"/>
      <c r="E345" s="3"/>
      <c r="F345" s="26"/>
      <c r="G345" s="4"/>
      <c r="H345" s="4" t="s">
        <v>519</v>
      </c>
      <c r="I345" s="22"/>
      <c r="J345" s="22"/>
      <c r="K345" s="218"/>
      <c r="L345" s="278"/>
      <c r="M345" s="330">
        <v>1000</v>
      </c>
      <c r="N345" s="148">
        <v>373</v>
      </c>
      <c r="O345" s="218">
        <f t="shared" si="32"/>
        <v>37.299999999999997</v>
      </c>
      <c r="P345" s="328"/>
      <c r="Q345" s="333">
        <f>M345</f>
        <v>1000</v>
      </c>
      <c r="R345" s="178">
        <f>N345</f>
        <v>373</v>
      </c>
      <c r="S345" s="219">
        <f t="shared" si="34"/>
        <v>37.299999999999997</v>
      </c>
    </row>
    <row r="346" spans="2:19" x14ac:dyDescent="0.2">
      <c r="B346" s="78">
        <f t="shared" si="35"/>
        <v>31</v>
      </c>
      <c r="C346" s="3"/>
      <c r="D346" s="3"/>
      <c r="E346" s="3"/>
      <c r="F346" s="25"/>
      <c r="G346" s="3">
        <v>717</v>
      </c>
      <c r="H346" s="3" t="s">
        <v>198</v>
      </c>
      <c r="I346" s="18"/>
      <c r="J346" s="18"/>
      <c r="K346" s="218"/>
      <c r="L346" s="279"/>
      <c r="M346" s="285">
        <f>M347</f>
        <v>8000</v>
      </c>
      <c r="N346" s="18">
        <f>N347</f>
        <v>0</v>
      </c>
      <c r="O346" s="218">
        <f t="shared" si="32"/>
        <v>0</v>
      </c>
      <c r="P346" s="279"/>
      <c r="Q346" s="324">
        <f t="shared" si="33"/>
        <v>8000</v>
      </c>
      <c r="R346" s="81">
        <f t="shared" si="33"/>
        <v>0</v>
      </c>
      <c r="S346" s="219">
        <f t="shared" si="34"/>
        <v>0</v>
      </c>
    </row>
    <row r="347" spans="2:19" x14ac:dyDescent="0.2">
      <c r="B347" s="78">
        <f t="shared" si="35"/>
        <v>32</v>
      </c>
      <c r="C347" s="3"/>
      <c r="D347" s="3"/>
      <c r="E347" s="3"/>
      <c r="F347" s="25"/>
      <c r="G347" s="3"/>
      <c r="H347" s="4" t="s">
        <v>519</v>
      </c>
      <c r="I347" s="20"/>
      <c r="J347" s="20"/>
      <c r="K347" s="218"/>
      <c r="L347" s="280"/>
      <c r="M347" s="286">
        <v>8000</v>
      </c>
      <c r="N347" s="20"/>
      <c r="O347" s="218">
        <f t="shared" si="32"/>
        <v>0</v>
      </c>
      <c r="P347" s="280"/>
      <c r="Q347" s="326">
        <f t="shared" si="33"/>
        <v>8000</v>
      </c>
      <c r="R347" s="82">
        <f t="shared" si="33"/>
        <v>0</v>
      </c>
      <c r="S347" s="219">
        <f t="shared" si="34"/>
        <v>0</v>
      </c>
    </row>
    <row r="348" spans="2:19" ht="15" x14ac:dyDescent="0.25">
      <c r="B348" s="78">
        <f t="shared" si="35"/>
        <v>33</v>
      </c>
      <c r="C348" s="10"/>
      <c r="D348" s="10"/>
      <c r="E348" s="10">
        <v>2</v>
      </c>
      <c r="F348" s="27"/>
      <c r="G348" s="10"/>
      <c r="H348" s="10" t="s">
        <v>401</v>
      </c>
      <c r="I348" s="37">
        <f>I349+I350+I351+I358+I359</f>
        <v>569615</v>
      </c>
      <c r="J348" s="37">
        <f>J349+J350+J351+J358+J359</f>
        <v>540214</v>
      </c>
      <c r="K348" s="218">
        <f t="shared" si="31"/>
        <v>94.838443510090158</v>
      </c>
      <c r="L348" s="295"/>
      <c r="M348" s="299">
        <f>M359</f>
        <v>7550</v>
      </c>
      <c r="N348" s="37">
        <f>N359</f>
        <v>7522</v>
      </c>
      <c r="O348" s="218">
        <f t="shared" si="32"/>
        <v>99.629139072847678</v>
      </c>
      <c r="P348" s="295"/>
      <c r="Q348" s="325">
        <f t="shared" si="33"/>
        <v>577165</v>
      </c>
      <c r="R348" s="88">
        <f t="shared" si="33"/>
        <v>547736</v>
      </c>
      <c r="S348" s="219">
        <f t="shared" si="34"/>
        <v>94.901111467258062</v>
      </c>
    </row>
    <row r="349" spans="2:19" x14ac:dyDescent="0.2">
      <c r="B349" s="78">
        <f t="shared" si="35"/>
        <v>34</v>
      </c>
      <c r="C349" s="7"/>
      <c r="D349" s="7"/>
      <c r="E349" s="7"/>
      <c r="F349" s="24" t="s">
        <v>220</v>
      </c>
      <c r="G349" s="7">
        <v>610</v>
      </c>
      <c r="H349" s="7" t="s">
        <v>143</v>
      </c>
      <c r="I349" s="22">
        <v>41315</v>
      </c>
      <c r="J349" s="22">
        <v>39981</v>
      </c>
      <c r="K349" s="218">
        <f t="shared" si="31"/>
        <v>96.771148493283306</v>
      </c>
      <c r="L349" s="278"/>
      <c r="M349" s="284"/>
      <c r="N349" s="22"/>
      <c r="O349" s="218"/>
      <c r="P349" s="278"/>
      <c r="Q349" s="323">
        <f t="shared" si="33"/>
        <v>41315</v>
      </c>
      <c r="R349" s="80">
        <f t="shared" si="33"/>
        <v>39981</v>
      </c>
      <c r="S349" s="219">
        <f t="shared" si="34"/>
        <v>96.771148493283306</v>
      </c>
    </row>
    <row r="350" spans="2:19" x14ac:dyDescent="0.2">
      <c r="B350" s="78">
        <f t="shared" si="35"/>
        <v>35</v>
      </c>
      <c r="C350" s="7"/>
      <c r="D350" s="7"/>
      <c r="E350" s="7"/>
      <c r="F350" s="24" t="s">
        <v>220</v>
      </c>
      <c r="G350" s="7">
        <v>620</v>
      </c>
      <c r="H350" s="7" t="s">
        <v>136</v>
      </c>
      <c r="I350" s="22">
        <v>18700</v>
      </c>
      <c r="J350" s="22">
        <v>16403</v>
      </c>
      <c r="K350" s="218">
        <f t="shared" si="31"/>
        <v>87.716577540106954</v>
      </c>
      <c r="L350" s="278"/>
      <c r="M350" s="284"/>
      <c r="N350" s="22"/>
      <c r="O350" s="218"/>
      <c r="P350" s="278"/>
      <c r="Q350" s="323">
        <f t="shared" si="33"/>
        <v>18700</v>
      </c>
      <c r="R350" s="80">
        <f t="shared" si="33"/>
        <v>16403</v>
      </c>
      <c r="S350" s="219">
        <f t="shared" si="34"/>
        <v>87.716577540106954</v>
      </c>
    </row>
    <row r="351" spans="2:19" x14ac:dyDescent="0.2">
      <c r="B351" s="78">
        <f t="shared" si="35"/>
        <v>36</v>
      </c>
      <c r="C351" s="7"/>
      <c r="D351" s="7"/>
      <c r="E351" s="7"/>
      <c r="F351" s="24" t="s">
        <v>220</v>
      </c>
      <c r="G351" s="7">
        <v>630</v>
      </c>
      <c r="H351" s="7" t="s">
        <v>133</v>
      </c>
      <c r="I351" s="22">
        <f>SUM(I352:I357)</f>
        <v>507550</v>
      </c>
      <c r="J351" s="22">
        <f>SUM(J352:J357)</f>
        <v>483664</v>
      </c>
      <c r="K351" s="218">
        <f t="shared" si="31"/>
        <v>95.293862673628212</v>
      </c>
      <c r="L351" s="278"/>
      <c r="M351" s="284"/>
      <c r="N351" s="22"/>
      <c r="O351" s="218"/>
      <c r="P351" s="278"/>
      <c r="Q351" s="323">
        <f t="shared" si="33"/>
        <v>507550</v>
      </c>
      <c r="R351" s="80">
        <f t="shared" si="33"/>
        <v>483664</v>
      </c>
      <c r="S351" s="219">
        <f t="shared" si="34"/>
        <v>95.293862673628212</v>
      </c>
    </row>
    <row r="352" spans="2:19" x14ac:dyDescent="0.2">
      <c r="B352" s="78">
        <f t="shared" si="35"/>
        <v>37</v>
      </c>
      <c r="C352" s="3"/>
      <c r="D352" s="3"/>
      <c r="E352" s="3"/>
      <c r="F352" s="25" t="s">
        <v>220</v>
      </c>
      <c r="G352" s="3">
        <v>632</v>
      </c>
      <c r="H352" s="3" t="s">
        <v>146</v>
      </c>
      <c r="I352" s="18">
        <v>415000</v>
      </c>
      <c r="J352" s="18">
        <v>410393</v>
      </c>
      <c r="K352" s="218">
        <f t="shared" si="31"/>
        <v>98.889879518072291</v>
      </c>
      <c r="L352" s="279"/>
      <c r="M352" s="285"/>
      <c r="N352" s="18"/>
      <c r="O352" s="218"/>
      <c r="P352" s="279"/>
      <c r="Q352" s="324">
        <f t="shared" si="33"/>
        <v>415000</v>
      </c>
      <c r="R352" s="81">
        <f t="shared" si="33"/>
        <v>410393</v>
      </c>
      <c r="S352" s="219">
        <f t="shared" si="34"/>
        <v>98.889879518072291</v>
      </c>
    </row>
    <row r="353" spans="2:19" x14ac:dyDescent="0.2">
      <c r="B353" s="78">
        <f t="shared" si="35"/>
        <v>38</v>
      </c>
      <c r="C353" s="3"/>
      <c r="D353" s="3"/>
      <c r="E353" s="3"/>
      <c r="F353" s="25" t="s">
        <v>220</v>
      </c>
      <c r="G353" s="3">
        <v>633</v>
      </c>
      <c r="H353" s="3" t="s">
        <v>137</v>
      </c>
      <c r="I353" s="18">
        <v>26100</v>
      </c>
      <c r="J353" s="18">
        <v>21926</v>
      </c>
      <c r="K353" s="218">
        <f t="shared" si="31"/>
        <v>84.007662835249036</v>
      </c>
      <c r="L353" s="279"/>
      <c r="M353" s="285"/>
      <c r="N353" s="18"/>
      <c r="O353" s="218"/>
      <c r="P353" s="279"/>
      <c r="Q353" s="324">
        <f t="shared" si="33"/>
        <v>26100</v>
      </c>
      <c r="R353" s="81">
        <f t="shared" si="33"/>
        <v>21926</v>
      </c>
      <c r="S353" s="219">
        <f t="shared" si="34"/>
        <v>84.007662835249036</v>
      </c>
    </row>
    <row r="354" spans="2:19" x14ac:dyDescent="0.2">
      <c r="B354" s="78">
        <f t="shared" si="35"/>
        <v>39</v>
      </c>
      <c r="C354" s="3"/>
      <c r="D354" s="3"/>
      <c r="E354" s="3"/>
      <c r="F354" s="25" t="s">
        <v>220</v>
      </c>
      <c r="G354" s="3">
        <v>634</v>
      </c>
      <c r="H354" s="3" t="s">
        <v>144</v>
      </c>
      <c r="I354" s="18">
        <v>6000</v>
      </c>
      <c r="J354" s="18">
        <v>4484</v>
      </c>
      <c r="K354" s="218">
        <f t="shared" si="31"/>
        <v>74.733333333333334</v>
      </c>
      <c r="L354" s="279"/>
      <c r="M354" s="285"/>
      <c r="N354" s="18"/>
      <c r="O354" s="218"/>
      <c r="P354" s="279"/>
      <c r="Q354" s="324">
        <f t="shared" si="33"/>
        <v>6000</v>
      </c>
      <c r="R354" s="81">
        <f t="shared" si="33"/>
        <v>4484</v>
      </c>
      <c r="S354" s="219">
        <f t="shared" si="34"/>
        <v>74.733333333333334</v>
      </c>
    </row>
    <row r="355" spans="2:19" x14ac:dyDescent="0.2">
      <c r="B355" s="78">
        <f t="shared" si="35"/>
        <v>40</v>
      </c>
      <c r="C355" s="3"/>
      <c r="D355" s="3"/>
      <c r="E355" s="3"/>
      <c r="F355" s="25" t="s">
        <v>220</v>
      </c>
      <c r="G355" s="3">
        <v>635</v>
      </c>
      <c r="H355" s="3" t="s">
        <v>145</v>
      </c>
      <c r="I355" s="18">
        <v>9000</v>
      </c>
      <c r="J355" s="18">
        <v>6663</v>
      </c>
      <c r="K355" s="218">
        <f t="shared" si="31"/>
        <v>74.033333333333331</v>
      </c>
      <c r="L355" s="279"/>
      <c r="M355" s="285"/>
      <c r="N355" s="18"/>
      <c r="O355" s="218"/>
      <c r="P355" s="279"/>
      <c r="Q355" s="324">
        <f t="shared" si="33"/>
        <v>9000</v>
      </c>
      <c r="R355" s="81">
        <f t="shared" si="33"/>
        <v>6663</v>
      </c>
      <c r="S355" s="219">
        <f t="shared" si="34"/>
        <v>74.033333333333331</v>
      </c>
    </row>
    <row r="356" spans="2:19" x14ac:dyDescent="0.2">
      <c r="B356" s="78">
        <f t="shared" si="35"/>
        <v>41</v>
      </c>
      <c r="C356" s="3"/>
      <c r="D356" s="3"/>
      <c r="E356" s="3"/>
      <c r="F356" s="25" t="s">
        <v>220</v>
      </c>
      <c r="G356" s="3">
        <v>637</v>
      </c>
      <c r="H356" s="3" t="s">
        <v>134</v>
      </c>
      <c r="I356" s="18">
        <v>27450</v>
      </c>
      <c r="J356" s="18">
        <f>40198-J357</f>
        <v>16208</v>
      </c>
      <c r="K356" s="218">
        <f t="shared" si="31"/>
        <v>59.045537340619305</v>
      </c>
      <c r="L356" s="279"/>
      <c r="M356" s="285"/>
      <c r="N356" s="18"/>
      <c r="O356" s="218"/>
      <c r="P356" s="279"/>
      <c r="Q356" s="324">
        <f t="shared" si="33"/>
        <v>27450</v>
      </c>
      <c r="R356" s="81">
        <f t="shared" si="33"/>
        <v>16208</v>
      </c>
      <c r="S356" s="219">
        <f t="shared" si="34"/>
        <v>59.045537340619305</v>
      </c>
    </row>
    <row r="357" spans="2:19" ht="24" x14ac:dyDescent="0.2">
      <c r="B357" s="78">
        <f t="shared" si="35"/>
        <v>42</v>
      </c>
      <c r="C357" s="46"/>
      <c r="D357" s="46"/>
      <c r="E357" s="46"/>
      <c r="F357" s="47" t="s">
        <v>220</v>
      </c>
      <c r="G357" s="46">
        <v>637</v>
      </c>
      <c r="H357" s="48" t="s">
        <v>375</v>
      </c>
      <c r="I357" s="86">
        <v>24000</v>
      </c>
      <c r="J357" s="86">
        <v>23990</v>
      </c>
      <c r="K357" s="218">
        <f t="shared" si="31"/>
        <v>99.958333333333343</v>
      </c>
      <c r="L357" s="329"/>
      <c r="M357" s="331"/>
      <c r="N357" s="49"/>
      <c r="O357" s="218"/>
      <c r="P357" s="329"/>
      <c r="Q357" s="334">
        <f t="shared" ref="Q357:R381" si="36">I357+M357</f>
        <v>24000</v>
      </c>
      <c r="R357" s="103">
        <f t="shared" si="36"/>
        <v>23990</v>
      </c>
      <c r="S357" s="219">
        <f t="shared" si="34"/>
        <v>99.958333333333343</v>
      </c>
    </row>
    <row r="358" spans="2:19" x14ac:dyDescent="0.2">
      <c r="B358" s="78">
        <f t="shared" si="35"/>
        <v>43</v>
      </c>
      <c r="C358" s="7"/>
      <c r="D358" s="7"/>
      <c r="E358" s="7"/>
      <c r="F358" s="24" t="s">
        <v>220</v>
      </c>
      <c r="G358" s="7">
        <v>640</v>
      </c>
      <c r="H358" s="7" t="s">
        <v>141</v>
      </c>
      <c r="I358" s="22">
        <v>2050</v>
      </c>
      <c r="J358" s="22">
        <v>166</v>
      </c>
      <c r="K358" s="218">
        <f t="shared" si="31"/>
        <v>8.0975609756097562</v>
      </c>
      <c r="L358" s="278"/>
      <c r="M358" s="284"/>
      <c r="N358" s="22"/>
      <c r="O358" s="218"/>
      <c r="P358" s="278"/>
      <c r="Q358" s="323">
        <f t="shared" si="36"/>
        <v>2050</v>
      </c>
      <c r="R358" s="80">
        <f t="shared" si="36"/>
        <v>166</v>
      </c>
      <c r="S358" s="219">
        <f t="shared" si="34"/>
        <v>8.0975609756097562</v>
      </c>
    </row>
    <row r="359" spans="2:19" x14ac:dyDescent="0.2">
      <c r="B359" s="78">
        <f t="shared" si="35"/>
        <v>44</v>
      </c>
      <c r="C359" s="7"/>
      <c r="D359" s="7"/>
      <c r="E359" s="7"/>
      <c r="F359" s="24" t="s">
        <v>220</v>
      </c>
      <c r="G359" s="7">
        <v>710</v>
      </c>
      <c r="H359" s="7" t="s">
        <v>188</v>
      </c>
      <c r="I359" s="22"/>
      <c r="J359" s="22"/>
      <c r="K359" s="218"/>
      <c r="L359" s="278"/>
      <c r="M359" s="284">
        <f>M360</f>
        <v>7550</v>
      </c>
      <c r="N359" s="22">
        <f>N360</f>
        <v>7522</v>
      </c>
      <c r="O359" s="218">
        <f t="shared" si="32"/>
        <v>99.629139072847678</v>
      </c>
      <c r="P359" s="278"/>
      <c r="Q359" s="323">
        <f t="shared" si="36"/>
        <v>7550</v>
      </c>
      <c r="R359" s="80">
        <f t="shared" si="36"/>
        <v>7522</v>
      </c>
      <c r="S359" s="219">
        <f t="shared" si="34"/>
        <v>99.629139072847678</v>
      </c>
    </row>
    <row r="360" spans="2:19" x14ac:dyDescent="0.2">
      <c r="B360" s="78">
        <f t="shared" si="35"/>
        <v>45</v>
      </c>
      <c r="C360" s="3"/>
      <c r="D360" s="3"/>
      <c r="E360" s="3"/>
      <c r="F360" s="25" t="s">
        <v>220</v>
      </c>
      <c r="G360" s="3">
        <v>713</v>
      </c>
      <c r="H360" s="3" t="s">
        <v>234</v>
      </c>
      <c r="I360" s="18"/>
      <c r="J360" s="18"/>
      <c r="K360" s="218"/>
      <c r="L360" s="279"/>
      <c r="M360" s="285">
        <f>M361</f>
        <v>7550</v>
      </c>
      <c r="N360" s="18">
        <f>N361</f>
        <v>7522</v>
      </c>
      <c r="O360" s="218">
        <f t="shared" si="32"/>
        <v>99.629139072847678</v>
      </c>
      <c r="P360" s="279"/>
      <c r="Q360" s="324">
        <f t="shared" si="36"/>
        <v>7550</v>
      </c>
      <c r="R360" s="81">
        <f t="shared" si="36"/>
        <v>7522</v>
      </c>
      <c r="S360" s="219">
        <f t="shared" si="34"/>
        <v>99.629139072847678</v>
      </c>
    </row>
    <row r="361" spans="2:19" x14ac:dyDescent="0.2">
      <c r="B361" s="78">
        <f t="shared" si="35"/>
        <v>46</v>
      </c>
      <c r="C361" s="4"/>
      <c r="D361" s="4"/>
      <c r="E361" s="4"/>
      <c r="F361" s="30"/>
      <c r="G361" s="4"/>
      <c r="H361" s="4" t="s">
        <v>462</v>
      </c>
      <c r="I361" s="20"/>
      <c r="J361" s="20"/>
      <c r="K361" s="218"/>
      <c r="L361" s="280"/>
      <c r="M361" s="286">
        <v>7550</v>
      </c>
      <c r="N361" s="20">
        <v>7522</v>
      </c>
      <c r="O361" s="218">
        <f t="shared" si="32"/>
        <v>99.629139072847678</v>
      </c>
      <c r="P361" s="280"/>
      <c r="Q361" s="326">
        <f t="shared" si="36"/>
        <v>7550</v>
      </c>
      <c r="R361" s="82">
        <f t="shared" si="36"/>
        <v>7522</v>
      </c>
      <c r="S361" s="219">
        <f t="shared" si="34"/>
        <v>99.629139072847678</v>
      </c>
    </row>
    <row r="362" spans="2:19" ht="15" x14ac:dyDescent="0.2">
      <c r="B362" s="78">
        <f t="shared" si="35"/>
        <v>47</v>
      </c>
      <c r="C362" s="430">
        <v>3</v>
      </c>
      <c r="D362" s="505" t="s">
        <v>244</v>
      </c>
      <c r="E362" s="494"/>
      <c r="F362" s="494"/>
      <c r="G362" s="494"/>
      <c r="H362" s="495"/>
      <c r="I362" s="35">
        <f>I363</f>
        <v>7000</v>
      </c>
      <c r="J362" s="35">
        <f>J363</f>
        <v>6308</v>
      </c>
      <c r="K362" s="218">
        <f t="shared" si="31"/>
        <v>90.114285714285714</v>
      </c>
      <c r="L362" s="276"/>
      <c r="M362" s="282">
        <f>M365</f>
        <v>3000</v>
      </c>
      <c r="N362" s="35">
        <f>N365</f>
        <v>1034</v>
      </c>
      <c r="O362" s="218">
        <f t="shared" si="32"/>
        <v>34.466666666666669</v>
      </c>
      <c r="P362" s="276"/>
      <c r="Q362" s="322">
        <f t="shared" si="36"/>
        <v>10000</v>
      </c>
      <c r="R362" s="79">
        <f t="shared" si="36"/>
        <v>7342</v>
      </c>
      <c r="S362" s="219">
        <f t="shared" si="34"/>
        <v>73.42</v>
      </c>
    </row>
    <row r="363" spans="2:19" x14ac:dyDescent="0.2">
      <c r="B363" s="78">
        <f t="shared" si="35"/>
        <v>48</v>
      </c>
      <c r="C363" s="7"/>
      <c r="D363" s="7"/>
      <c r="E363" s="7"/>
      <c r="F363" s="24" t="s">
        <v>207</v>
      </c>
      <c r="G363" s="7">
        <v>630</v>
      </c>
      <c r="H363" s="7" t="s">
        <v>133</v>
      </c>
      <c r="I363" s="22">
        <f>I364</f>
        <v>7000</v>
      </c>
      <c r="J363" s="22">
        <f>J364</f>
        <v>6308</v>
      </c>
      <c r="K363" s="218">
        <f t="shared" si="31"/>
        <v>90.114285714285714</v>
      </c>
      <c r="L363" s="278"/>
      <c r="M363" s="284"/>
      <c r="N363" s="22"/>
      <c r="O363" s="218"/>
      <c r="P363" s="278"/>
      <c r="Q363" s="323">
        <f t="shared" si="36"/>
        <v>7000</v>
      </c>
      <c r="R363" s="80">
        <f t="shared" si="36"/>
        <v>6308</v>
      </c>
      <c r="S363" s="219">
        <f t="shared" si="34"/>
        <v>90.114285714285714</v>
      </c>
    </row>
    <row r="364" spans="2:19" x14ac:dyDescent="0.2">
      <c r="B364" s="78">
        <f t="shared" si="35"/>
        <v>49</v>
      </c>
      <c r="C364" s="3"/>
      <c r="D364" s="3"/>
      <c r="E364" s="3"/>
      <c r="F364" s="25" t="s">
        <v>207</v>
      </c>
      <c r="G364" s="3">
        <v>635</v>
      </c>
      <c r="H364" s="3" t="s">
        <v>145</v>
      </c>
      <c r="I364" s="18">
        <v>7000</v>
      </c>
      <c r="J364" s="18">
        <v>6308</v>
      </c>
      <c r="K364" s="218">
        <f t="shared" si="31"/>
        <v>90.114285714285714</v>
      </c>
      <c r="L364" s="279"/>
      <c r="M364" s="285"/>
      <c r="N364" s="18"/>
      <c r="O364" s="218"/>
      <c r="P364" s="279"/>
      <c r="Q364" s="324">
        <f t="shared" si="36"/>
        <v>7000</v>
      </c>
      <c r="R364" s="81">
        <f t="shared" si="36"/>
        <v>6308</v>
      </c>
      <c r="S364" s="219">
        <f t="shared" si="34"/>
        <v>90.114285714285714</v>
      </c>
    </row>
    <row r="365" spans="2:19" x14ac:dyDescent="0.2">
      <c r="B365" s="78">
        <f t="shared" si="35"/>
        <v>50</v>
      </c>
      <c r="C365" s="7"/>
      <c r="D365" s="7"/>
      <c r="E365" s="7"/>
      <c r="F365" s="24" t="s">
        <v>207</v>
      </c>
      <c r="G365" s="7">
        <v>710</v>
      </c>
      <c r="H365" s="7" t="s">
        <v>188</v>
      </c>
      <c r="I365" s="22"/>
      <c r="J365" s="22"/>
      <c r="K365" s="218"/>
      <c r="L365" s="278"/>
      <c r="M365" s="284">
        <f>M366</f>
        <v>3000</v>
      </c>
      <c r="N365" s="22">
        <f>N366</f>
        <v>1034</v>
      </c>
      <c r="O365" s="218">
        <f t="shared" si="32"/>
        <v>34.466666666666669</v>
      </c>
      <c r="P365" s="278"/>
      <c r="Q365" s="323">
        <f t="shared" si="36"/>
        <v>3000</v>
      </c>
      <c r="R365" s="80">
        <f t="shared" si="36"/>
        <v>1034</v>
      </c>
      <c r="S365" s="219">
        <f t="shared" si="34"/>
        <v>34.466666666666669</v>
      </c>
    </row>
    <row r="366" spans="2:19" x14ac:dyDescent="0.2">
      <c r="B366" s="78">
        <f t="shared" si="35"/>
        <v>51</v>
      </c>
      <c r="C366" s="3"/>
      <c r="D366" s="3"/>
      <c r="E366" s="3"/>
      <c r="F366" s="25" t="s">
        <v>207</v>
      </c>
      <c r="G366" s="3">
        <v>713</v>
      </c>
      <c r="H366" s="3" t="s">
        <v>234</v>
      </c>
      <c r="I366" s="18"/>
      <c r="J366" s="18"/>
      <c r="K366" s="218"/>
      <c r="L366" s="279"/>
      <c r="M366" s="285">
        <f>M367</f>
        <v>3000</v>
      </c>
      <c r="N366" s="18">
        <f>N367</f>
        <v>1034</v>
      </c>
      <c r="O366" s="218">
        <f t="shared" si="32"/>
        <v>34.466666666666669</v>
      </c>
      <c r="P366" s="279"/>
      <c r="Q366" s="324">
        <f t="shared" si="36"/>
        <v>3000</v>
      </c>
      <c r="R366" s="81">
        <f t="shared" si="36"/>
        <v>1034</v>
      </c>
      <c r="S366" s="219">
        <f t="shared" si="34"/>
        <v>34.466666666666669</v>
      </c>
    </row>
    <row r="367" spans="2:19" x14ac:dyDescent="0.2">
      <c r="B367" s="78">
        <f t="shared" si="35"/>
        <v>52</v>
      </c>
      <c r="C367" s="4"/>
      <c r="D367" s="4"/>
      <c r="E367" s="4"/>
      <c r="F367" s="30"/>
      <c r="G367" s="4"/>
      <c r="H367" s="4" t="s">
        <v>363</v>
      </c>
      <c r="I367" s="20"/>
      <c r="J367" s="20"/>
      <c r="K367" s="218"/>
      <c r="L367" s="280"/>
      <c r="M367" s="286">
        <v>3000</v>
      </c>
      <c r="N367" s="20">
        <v>1034</v>
      </c>
      <c r="O367" s="218">
        <f t="shared" si="32"/>
        <v>34.466666666666669</v>
      </c>
      <c r="P367" s="280"/>
      <c r="Q367" s="326">
        <f t="shared" si="36"/>
        <v>3000</v>
      </c>
      <c r="R367" s="82">
        <f t="shared" si="36"/>
        <v>1034</v>
      </c>
      <c r="S367" s="219">
        <f t="shared" si="34"/>
        <v>34.466666666666669</v>
      </c>
    </row>
    <row r="368" spans="2:19" ht="15" x14ac:dyDescent="0.2">
      <c r="B368" s="78">
        <f t="shared" si="35"/>
        <v>53</v>
      </c>
      <c r="C368" s="430">
        <v>4</v>
      </c>
      <c r="D368" s="505" t="s">
        <v>169</v>
      </c>
      <c r="E368" s="494"/>
      <c r="F368" s="494"/>
      <c r="G368" s="494"/>
      <c r="H368" s="495"/>
      <c r="I368" s="35">
        <f>I369</f>
        <v>8300</v>
      </c>
      <c r="J368" s="35">
        <f>J369</f>
        <v>7200</v>
      </c>
      <c r="K368" s="218">
        <f t="shared" si="31"/>
        <v>86.746987951807228</v>
      </c>
      <c r="L368" s="276"/>
      <c r="M368" s="282">
        <v>0</v>
      </c>
      <c r="N368" s="35">
        <v>0</v>
      </c>
      <c r="O368" s="218"/>
      <c r="P368" s="276"/>
      <c r="Q368" s="322">
        <f t="shared" si="36"/>
        <v>8300</v>
      </c>
      <c r="R368" s="79">
        <f t="shared" si="36"/>
        <v>7200</v>
      </c>
      <c r="S368" s="219">
        <f t="shared" si="34"/>
        <v>86.746987951807228</v>
      </c>
    </row>
    <row r="369" spans="2:19" x14ac:dyDescent="0.2">
      <c r="B369" s="78">
        <f t="shared" si="35"/>
        <v>54</v>
      </c>
      <c r="C369" s="7"/>
      <c r="D369" s="7"/>
      <c r="E369" s="7"/>
      <c r="F369" s="24" t="s">
        <v>168</v>
      </c>
      <c r="G369" s="7">
        <v>630</v>
      </c>
      <c r="H369" s="7" t="s">
        <v>133</v>
      </c>
      <c r="I369" s="22">
        <f>I370</f>
        <v>8300</v>
      </c>
      <c r="J369" s="22">
        <f>J370</f>
        <v>7200</v>
      </c>
      <c r="K369" s="218">
        <f t="shared" si="31"/>
        <v>86.746987951807228</v>
      </c>
      <c r="L369" s="278"/>
      <c r="M369" s="284"/>
      <c r="N369" s="22"/>
      <c r="O369" s="218"/>
      <c r="P369" s="278"/>
      <c r="Q369" s="323">
        <f t="shared" si="36"/>
        <v>8300</v>
      </c>
      <c r="R369" s="80">
        <f t="shared" si="36"/>
        <v>7200</v>
      </c>
      <c r="S369" s="219">
        <f t="shared" si="34"/>
        <v>86.746987951807228</v>
      </c>
    </row>
    <row r="370" spans="2:19" x14ac:dyDescent="0.2">
      <c r="B370" s="78">
        <f t="shared" si="35"/>
        <v>55</v>
      </c>
      <c r="C370" s="3"/>
      <c r="D370" s="3"/>
      <c r="E370" s="3"/>
      <c r="F370" s="25" t="s">
        <v>168</v>
      </c>
      <c r="G370" s="3">
        <v>637</v>
      </c>
      <c r="H370" s="3" t="s">
        <v>134</v>
      </c>
      <c r="I370" s="18">
        <v>8300</v>
      </c>
      <c r="J370" s="18">
        <v>7200</v>
      </c>
      <c r="K370" s="218">
        <f t="shared" si="31"/>
        <v>86.746987951807228</v>
      </c>
      <c r="L370" s="279"/>
      <c r="M370" s="285"/>
      <c r="N370" s="18"/>
      <c r="O370" s="218"/>
      <c r="P370" s="279"/>
      <c r="Q370" s="324">
        <f t="shared" si="36"/>
        <v>8300</v>
      </c>
      <c r="R370" s="81">
        <f t="shared" si="36"/>
        <v>7200</v>
      </c>
      <c r="S370" s="219">
        <f t="shared" si="34"/>
        <v>86.746987951807228</v>
      </c>
    </row>
    <row r="371" spans="2:19" ht="15" x14ac:dyDescent="0.2">
      <c r="B371" s="78">
        <f t="shared" si="35"/>
        <v>56</v>
      </c>
      <c r="C371" s="430">
        <v>5</v>
      </c>
      <c r="D371" s="505" t="s">
        <v>159</v>
      </c>
      <c r="E371" s="494"/>
      <c r="F371" s="494"/>
      <c r="G371" s="494"/>
      <c r="H371" s="495"/>
      <c r="I371" s="35">
        <f>I372+I377</f>
        <v>22870</v>
      </c>
      <c r="J371" s="35">
        <f>J372+J377</f>
        <v>20557</v>
      </c>
      <c r="K371" s="218">
        <f t="shared" si="31"/>
        <v>89.886313948404023</v>
      </c>
      <c r="L371" s="276"/>
      <c r="M371" s="282">
        <v>0</v>
      </c>
      <c r="N371" s="35">
        <v>0</v>
      </c>
      <c r="O371" s="218"/>
      <c r="P371" s="276"/>
      <c r="Q371" s="322">
        <f t="shared" si="36"/>
        <v>22870</v>
      </c>
      <c r="R371" s="79">
        <f t="shared" si="36"/>
        <v>20557</v>
      </c>
      <c r="S371" s="219">
        <f t="shared" si="34"/>
        <v>89.886313948404023</v>
      </c>
    </row>
    <row r="372" spans="2:19" x14ac:dyDescent="0.2">
      <c r="B372" s="78">
        <f t="shared" si="35"/>
        <v>57</v>
      </c>
      <c r="C372" s="7"/>
      <c r="D372" s="7"/>
      <c r="E372" s="7"/>
      <c r="F372" s="24" t="s">
        <v>158</v>
      </c>
      <c r="G372" s="7">
        <v>630</v>
      </c>
      <c r="H372" s="7" t="s">
        <v>133</v>
      </c>
      <c r="I372" s="22">
        <f>I376+I374+I373+I375</f>
        <v>13870</v>
      </c>
      <c r="J372" s="22">
        <f>J376+J374+J373+J375</f>
        <v>12557</v>
      </c>
      <c r="K372" s="218">
        <f t="shared" si="31"/>
        <v>90.533525594808935</v>
      </c>
      <c r="L372" s="278"/>
      <c r="M372" s="284"/>
      <c r="N372" s="22"/>
      <c r="O372" s="218"/>
      <c r="P372" s="278"/>
      <c r="Q372" s="323">
        <f t="shared" si="36"/>
        <v>13870</v>
      </c>
      <c r="R372" s="80">
        <f t="shared" si="36"/>
        <v>12557</v>
      </c>
      <c r="S372" s="219">
        <f t="shared" si="34"/>
        <v>90.533525594808935</v>
      </c>
    </row>
    <row r="373" spans="2:19" x14ac:dyDescent="0.2">
      <c r="B373" s="78">
        <f t="shared" si="35"/>
        <v>58</v>
      </c>
      <c r="C373" s="7"/>
      <c r="D373" s="7"/>
      <c r="E373" s="7"/>
      <c r="F373" s="25" t="s">
        <v>158</v>
      </c>
      <c r="G373" s="3">
        <v>633</v>
      </c>
      <c r="H373" s="3" t="s">
        <v>614</v>
      </c>
      <c r="I373" s="18">
        <v>3000</v>
      </c>
      <c r="J373" s="18">
        <v>2975</v>
      </c>
      <c r="K373" s="218">
        <f t="shared" si="31"/>
        <v>99.166666666666671</v>
      </c>
      <c r="L373" s="279"/>
      <c r="M373" s="285"/>
      <c r="N373" s="18"/>
      <c r="O373" s="218"/>
      <c r="P373" s="279"/>
      <c r="Q373" s="324">
        <f t="shared" si="36"/>
        <v>3000</v>
      </c>
      <c r="R373" s="81">
        <f t="shared" si="36"/>
        <v>2975</v>
      </c>
      <c r="S373" s="219">
        <f t="shared" si="34"/>
        <v>99.166666666666671</v>
      </c>
    </row>
    <row r="374" spans="2:19" x14ac:dyDescent="0.2">
      <c r="B374" s="78">
        <f t="shared" si="35"/>
        <v>59</v>
      </c>
      <c r="C374" s="3"/>
      <c r="D374" s="3"/>
      <c r="E374" s="3"/>
      <c r="F374" s="25" t="s">
        <v>158</v>
      </c>
      <c r="G374" s="3">
        <v>634</v>
      </c>
      <c r="H374" s="3" t="s">
        <v>144</v>
      </c>
      <c r="I374" s="18">
        <v>2300</v>
      </c>
      <c r="J374" s="18">
        <v>2130</v>
      </c>
      <c r="K374" s="218">
        <f t="shared" si="31"/>
        <v>92.608695652173907</v>
      </c>
      <c r="L374" s="279"/>
      <c r="M374" s="285"/>
      <c r="N374" s="18"/>
      <c r="O374" s="218"/>
      <c r="P374" s="279"/>
      <c r="Q374" s="324">
        <f t="shared" si="36"/>
        <v>2300</v>
      </c>
      <c r="R374" s="81">
        <f t="shared" si="36"/>
        <v>2130</v>
      </c>
      <c r="S374" s="219">
        <f t="shared" si="34"/>
        <v>92.608695652173907</v>
      </c>
    </row>
    <row r="375" spans="2:19" x14ac:dyDescent="0.2">
      <c r="B375" s="78">
        <f t="shared" si="35"/>
        <v>60</v>
      </c>
      <c r="C375" s="3"/>
      <c r="D375" s="3"/>
      <c r="E375" s="3"/>
      <c r="F375" s="25" t="s">
        <v>158</v>
      </c>
      <c r="G375" s="3">
        <v>635</v>
      </c>
      <c r="H375" s="3" t="s">
        <v>615</v>
      </c>
      <c r="I375" s="18">
        <v>1400</v>
      </c>
      <c r="J375" s="18">
        <v>1400</v>
      </c>
      <c r="K375" s="218">
        <f t="shared" si="31"/>
        <v>100</v>
      </c>
      <c r="L375" s="279"/>
      <c r="M375" s="285"/>
      <c r="N375" s="18"/>
      <c r="O375" s="218"/>
      <c r="P375" s="279"/>
      <c r="Q375" s="324">
        <f t="shared" si="36"/>
        <v>1400</v>
      </c>
      <c r="R375" s="81">
        <f t="shared" si="36"/>
        <v>1400</v>
      </c>
      <c r="S375" s="219">
        <f t="shared" si="34"/>
        <v>100</v>
      </c>
    </row>
    <row r="376" spans="2:19" x14ac:dyDescent="0.2">
      <c r="B376" s="78">
        <f t="shared" si="35"/>
        <v>61</v>
      </c>
      <c r="C376" s="3"/>
      <c r="D376" s="3"/>
      <c r="E376" s="3"/>
      <c r="F376" s="25" t="s">
        <v>158</v>
      </c>
      <c r="G376" s="3">
        <v>637</v>
      </c>
      <c r="H376" s="3" t="s">
        <v>134</v>
      </c>
      <c r="I376" s="18">
        <v>7170</v>
      </c>
      <c r="J376" s="18">
        <v>6052</v>
      </c>
      <c r="K376" s="218">
        <f t="shared" si="31"/>
        <v>84.407252440725244</v>
      </c>
      <c r="L376" s="279"/>
      <c r="M376" s="285"/>
      <c r="N376" s="18"/>
      <c r="O376" s="218"/>
      <c r="P376" s="279"/>
      <c r="Q376" s="324">
        <f t="shared" si="36"/>
        <v>7170</v>
      </c>
      <c r="R376" s="81">
        <f t="shared" si="36"/>
        <v>6052</v>
      </c>
      <c r="S376" s="219">
        <f t="shared" si="34"/>
        <v>84.407252440725244</v>
      </c>
    </row>
    <row r="377" spans="2:19" x14ac:dyDescent="0.2">
      <c r="B377" s="78">
        <f t="shared" si="35"/>
        <v>62</v>
      </c>
      <c r="C377" s="7"/>
      <c r="D377" s="7"/>
      <c r="E377" s="7"/>
      <c r="F377" s="24" t="s">
        <v>158</v>
      </c>
      <c r="G377" s="7">
        <v>640</v>
      </c>
      <c r="H377" s="7" t="s">
        <v>141</v>
      </c>
      <c r="I377" s="22">
        <f>I378</f>
        <v>9000</v>
      </c>
      <c r="J377" s="22">
        <f>J378</f>
        <v>8000</v>
      </c>
      <c r="K377" s="218">
        <f t="shared" si="31"/>
        <v>88.888888888888886</v>
      </c>
      <c r="L377" s="278"/>
      <c r="M377" s="284"/>
      <c r="N377" s="22"/>
      <c r="O377" s="218"/>
      <c r="P377" s="278"/>
      <c r="Q377" s="323">
        <f t="shared" si="36"/>
        <v>9000</v>
      </c>
      <c r="R377" s="80">
        <f t="shared" si="36"/>
        <v>8000</v>
      </c>
      <c r="S377" s="219">
        <f t="shared" si="34"/>
        <v>88.888888888888886</v>
      </c>
    </row>
    <row r="378" spans="2:19" x14ac:dyDescent="0.2">
      <c r="B378" s="78">
        <f t="shared" si="35"/>
        <v>63</v>
      </c>
      <c r="C378" s="3"/>
      <c r="D378" s="3"/>
      <c r="E378" s="3"/>
      <c r="F378" s="25" t="s">
        <v>158</v>
      </c>
      <c r="G378" s="3">
        <v>642</v>
      </c>
      <c r="H378" s="3" t="s">
        <v>142</v>
      </c>
      <c r="I378" s="18">
        <f>SUM(I379:I381)</f>
        <v>9000</v>
      </c>
      <c r="J378" s="18">
        <f>SUM(J379:J381)</f>
        <v>8000</v>
      </c>
      <c r="K378" s="218">
        <f t="shared" si="31"/>
        <v>88.888888888888886</v>
      </c>
      <c r="L378" s="279"/>
      <c r="M378" s="285"/>
      <c r="N378" s="18"/>
      <c r="O378" s="218"/>
      <c r="P378" s="279"/>
      <c r="Q378" s="324">
        <f t="shared" si="36"/>
        <v>9000</v>
      </c>
      <c r="R378" s="81">
        <f t="shared" si="36"/>
        <v>8000</v>
      </c>
      <c r="S378" s="219">
        <f t="shared" si="34"/>
        <v>88.888888888888886</v>
      </c>
    </row>
    <row r="379" spans="2:19" x14ac:dyDescent="0.2">
      <c r="B379" s="78">
        <f t="shared" si="35"/>
        <v>64</v>
      </c>
      <c r="C379" s="4"/>
      <c r="D379" s="4"/>
      <c r="E379" s="4"/>
      <c r="F379" s="26"/>
      <c r="G379" s="4"/>
      <c r="H379" s="4" t="s">
        <v>15</v>
      </c>
      <c r="I379" s="20">
        <v>4000</v>
      </c>
      <c r="J379" s="20">
        <v>4000</v>
      </c>
      <c r="K379" s="218">
        <f t="shared" si="31"/>
        <v>100</v>
      </c>
      <c r="L379" s="280"/>
      <c r="M379" s="286"/>
      <c r="N379" s="20"/>
      <c r="O379" s="218"/>
      <c r="P379" s="280"/>
      <c r="Q379" s="326">
        <f t="shared" si="36"/>
        <v>4000</v>
      </c>
      <c r="R379" s="82">
        <f t="shared" si="36"/>
        <v>4000</v>
      </c>
      <c r="S379" s="219">
        <f t="shared" si="34"/>
        <v>100</v>
      </c>
    </row>
    <row r="380" spans="2:19" x14ac:dyDescent="0.2">
      <c r="B380" s="78">
        <f t="shared" si="35"/>
        <v>65</v>
      </c>
      <c r="C380" s="4"/>
      <c r="D380" s="4"/>
      <c r="E380" s="4"/>
      <c r="F380" s="26"/>
      <c r="G380" s="4"/>
      <c r="H380" s="4" t="s">
        <v>16</v>
      </c>
      <c r="I380" s="20">
        <v>4000</v>
      </c>
      <c r="J380" s="20">
        <v>4000</v>
      </c>
      <c r="K380" s="218">
        <f t="shared" ref="K380:K381" si="37">J380/I380*100</f>
        <v>100</v>
      </c>
      <c r="L380" s="280"/>
      <c r="M380" s="286"/>
      <c r="N380" s="20"/>
      <c r="O380" s="218"/>
      <c r="P380" s="280"/>
      <c r="Q380" s="326">
        <f t="shared" si="36"/>
        <v>4000</v>
      </c>
      <c r="R380" s="82">
        <f t="shared" si="36"/>
        <v>4000</v>
      </c>
      <c r="S380" s="219">
        <f t="shared" ref="S380:S381" si="38">R380/Q380*100</f>
        <v>100</v>
      </c>
    </row>
    <row r="381" spans="2:19" ht="13.5" thickBot="1" x14ac:dyDescent="0.25">
      <c r="B381" s="83">
        <f t="shared" si="35"/>
        <v>66</v>
      </c>
      <c r="C381" s="89"/>
      <c r="D381" s="89"/>
      <c r="E381" s="89"/>
      <c r="F381" s="90"/>
      <c r="G381" s="89"/>
      <c r="H381" s="89" t="s">
        <v>17</v>
      </c>
      <c r="I381" s="92">
        <v>1000</v>
      </c>
      <c r="J381" s="92"/>
      <c r="K381" s="269">
        <f t="shared" si="37"/>
        <v>0</v>
      </c>
      <c r="L381" s="280"/>
      <c r="M381" s="290"/>
      <c r="N381" s="92"/>
      <c r="O381" s="269"/>
      <c r="P381" s="280"/>
      <c r="Q381" s="335">
        <f t="shared" si="36"/>
        <v>1000</v>
      </c>
      <c r="R381" s="93">
        <f t="shared" si="36"/>
        <v>0</v>
      </c>
      <c r="S381" s="259">
        <f t="shared" si="38"/>
        <v>0</v>
      </c>
    </row>
    <row r="416" spans="2:18" ht="27.75" thickBot="1" x14ac:dyDescent="0.4">
      <c r="B416" s="515" t="s">
        <v>27</v>
      </c>
      <c r="C416" s="516"/>
      <c r="D416" s="516"/>
      <c r="E416" s="516"/>
      <c r="F416" s="516"/>
      <c r="G416" s="516"/>
      <c r="H416" s="516"/>
      <c r="I416" s="516"/>
      <c r="J416" s="516"/>
      <c r="K416" s="516"/>
      <c r="L416" s="516"/>
      <c r="M416" s="516"/>
      <c r="N416" s="516"/>
      <c r="O416" s="516"/>
      <c r="P416" s="516"/>
      <c r="Q416" s="516"/>
      <c r="R416" s="516"/>
    </row>
    <row r="417" spans="2:43" ht="13.5" thickBot="1" x14ac:dyDescent="0.25">
      <c r="B417" s="531" t="s">
        <v>352</v>
      </c>
      <c r="C417" s="532"/>
      <c r="D417" s="532"/>
      <c r="E417" s="532"/>
      <c r="F417" s="532"/>
      <c r="G417" s="532"/>
      <c r="H417" s="532"/>
      <c r="I417" s="532"/>
      <c r="J417" s="532"/>
      <c r="K417" s="532"/>
      <c r="L417" s="532"/>
      <c r="M417" s="532"/>
      <c r="N417" s="532"/>
      <c r="O417" s="533"/>
      <c r="P417" s="431"/>
      <c r="Q417" s="520" t="s">
        <v>662</v>
      </c>
      <c r="R417" s="496" t="s">
        <v>668</v>
      </c>
      <c r="S417" s="499" t="s">
        <v>663</v>
      </c>
      <c r="AQ417"/>
    </row>
    <row r="418" spans="2:43" x14ac:dyDescent="0.2">
      <c r="B418" s="523"/>
      <c r="C418" s="526" t="s">
        <v>126</v>
      </c>
      <c r="D418" s="526" t="s">
        <v>127</v>
      </c>
      <c r="E418" s="526"/>
      <c r="F418" s="526" t="s">
        <v>128</v>
      </c>
      <c r="G418" s="507" t="s">
        <v>129</v>
      </c>
      <c r="H418" s="510" t="s">
        <v>130</v>
      </c>
      <c r="I418" s="497" t="s">
        <v>664</v>
      </c>
      <c r="J418" s="497" t="s">
        <v>666</v>
      </c>
      <c r="K418" s="500" t="s">
        <v>663</v>
      </c>
      <c r="L418" s="423"/>
      <c r="M418" s="512" t="s">
        <v>665</v>
      </c>
      <c r="N418" s="496" t="s">
        <v>667</v>
      </c>
      <c r="O418" s="499" t="s">
        <v>663</v>
      </c>
      <c r="P418" s="432"/>
      <c r="Q418" s="521"/>
      <c r="R418" s="497"/>
      <c r="S418" s="500"/>
      <c r="AQ418"/>
    </row>
    <row r="419" spans="2:43" x14ac:dyDescent="0.2">
      <c r="B419" s="523"/>
      <c r="C419" s="526"/>
      <c r="D419" s="526"/>
      <c r="E419" s="526"/>
      <c r="F419" s="526"/>
      <c r="G419" s="507"/>
      <c r="H419" s="510"/>
      <c r="I419" s="497"/>
      <c r="J419" s="497"/>
      <c r="K419" s="500"/>
      <c r="L419" s="423"/>
      <c r="M419" s="513"/>
      <c r="N419" s="497"/>
      <c r="O419" s="500"/>
      <c r="P419" s="432"/>
      <c r="Q419" s="521"/>
      <c r="R419" s="497"/>
      <c r="S419" s="500"/>
      <c r="AQ419"/>
    </row>
    <row r="420" spans="2:43" x14ac:dyDescent="0.2">
      <c r="B420" s="523"/>
      <c r="C420" s="526"/>
      <c r="D420" s="526"/>
      <c r="E420" s="526"/>
      <c r="F420" s="526"/>
      <c r="G420" s="507"/>
      <c r="H420" s="510"/>
      <c r="I420" s="497"/>
      <c r="J420" s="497"/>
      <c r="K420" s="500"/>
      <c r="L420" s="423"/>
      <c r="M420" s="513"/>
      <c r="N420" s="497"/>
      <c r="O420" s="500"/>
      <c r="P420" s="432"/>
      <c r="Q420" s="521"/>
      <c r="R420" s="497"/>
      <c r="S420" s="500"/>
      <c r="AQ420"/>
    </row>
    <row r="421" spans="2:43" ht="13.5" thickBot="1" x14ac:dyDescent="0.25">
      <c r="B421" s="524"/>
      <c r="C421" s="527"/>
      <c r="D421" s="527"/>
      <c r="E421" s="527"/>
      <c r="F421" s="527"/>
      <c r="G421" s="508"/>
      <c r="H421" s="511"/>
      <c r="I421" s="498"/>
      <c r="J421" s="498"/>
      <c r="K421" s="501"/>
      <c r="L421" s="423"/>
      <c r="M421" s="514"/>
      <c r="N421" s="498"/>
      <c r="O421" s="501"/>
      <c r="P421" s="432"/>
      <c r="Q421" s="521"/>
      <c r="R421" s="498"/>
      <c r="S421" s="501"/>
      <c r="AQ421"/>
    </row>
    <row r="422" spans="2:43" ht="16.5" thickTop="1" x14ac:dyDescent="0.2">
      <c r="B422" s="78">
        <v>1</v>
      </c>
      <c r="C422" s="502" t="s">
        <v>27</v>
      </c>
      <c r="D422" s="503"/>
      <c r="E422" s="503"/>
      <c r="F422" s="503"/>
      <c r="G422" s="503"/>
      <c r="H422" s="504"/>
      <c r="I422" s="34">
        <f>I457+I427+I423</f>
        <v>4321400</v>
      </c>
      <c r="J422" s="34">
        <f>J457+J427+J423</f>
        <v>3727831</v>
      </c>
      <c r="K422" s="218">
        <f t="shared" ref="K422:K453" si="39">J422/I422*100</f>
        <v>86.264428194566577</v>
      </c>
      <c r="L422" s="216"/>
      <c r="M422" s="281">
        <f>M423+M427+M457</f>
        <v>7400356</v>
      </c>
      <c r="N422" s="34">
        <f>N423+N427+N457</f>
        <v>4174837</v>
      </c>
      <c r="O422" s="218">
        <f t="shared" ref="O422:O485" si="40">N422/M422*100</f>
        <v>56.414002245297389</v>
      </c>
      <c r="P422" s="433"/>
      <c r="Q422" s="281">
        <f t="shared" ref="Q422:Q458" si="41">I422+M422</f>
        <v>11721756</v>
      </c>
      <c r="R422" s="34">
        <f t="shared" ref="R422:R458" si="42">J422+N422</f>
        <v>7902668</v>
      </c>
      <c r="S422" s="219">
        <f t="shared" ref="S422:S485" si="43">R422/Q422*100</f>
        <v>67.418806533765078</v>
      </c>
      <c r="AQ422"/>
    </row>
    <row r="423" spans="2:43" ht="15" x14ac:dyDescent="0.2">
      <c r="B423" s="78">
        <f>B422+1</f>
        <v>2</v>
      </c>
      <c r="C423" s="430">
        <v>1</v>
      </c>
      <c r="D423" s="505" t="s">
        <v>257</v>
      </c>
      <c r="E423" s="494"/>
      <c r="F423" s="494"/>
      <c r="G423" s="494"/>
      <c r="H423" s="495"/>
      <c r="I423" s="35">
        <f>I424</f>
        <v>2090000</v>
      </c>
      <c r="J423" s="35">
        <f>J424</f>
        <v>1901942</v>
      </c>
      <c r="K423" s="218">
        <f t="shared" si="39"/>
        <v>91.002009569377989</v>
      </c>
      <c r="L423" s="271"/>
      <c r="M423" s="282">
        <v>0</v>
      </c>
      <c r="N423" s="35"/>
      <c r="O423" s="218"/>
      <c r="P423" s="433"/>
      <c r="Q423" s="282">
        <f t="shared" si="41"/>
        <v>2090000</v>
      </c>
      <c r="R423" s="35">
        <f t="shared" si="42"/>
        <v>1901942</v>
      </c>
      <c r="S423" s="219">
        <f t="shared" si="43"/>
        <v>91.002009569377989</v>
      </c>
      <c r="AQ423"/>
    </row>
    <row r="424" spans="2:43" x14ac:dyDescent="0.2">
      <c r="B424" s="78">
        <f t="shared" ref="B424:B487" si="44">B423+1</f>
        <v>3</v>
      </c>
      <c r="C424" s="7"/>
      <c r="D424" s="7"/>
      <c r="E424" s="7"/>
      <c r="F424" s="24" t="s">
        <v>235</v>
      </c>
      <c r="G424" s="7">
        <v>630</v>
      </c>
      <c r="H424" s="7" t="s">
        <v>133</v>
      </c>
      <c r="I424" s="22">
        <f>I425+I426</f>
        <v>2090000</v>
      </c>
      <c r="J424" s="22">
        <f>J425+J426</f>
        <v>1901942</v>
      </c>
      <c r="K424" s="218">
        <f t="shared" si="39"/>
        <v>91.002009569377989</v>
      </c>
      <c r="L424" s="273"/>
      <c r="M424" s="284"/>
      <c r="N424" s="22"/>
      <c r="O424" s="218"/>
      <c r="P424" s="433"/>
      <c r="Q424" s="284">
        <f t="shared" si="41"/>
        <v>2090000</v>
      </c>
      <c r="R424" s="22">
        <f t="shared" si="42"/>
        <v>1901942</v>
      </c>
      <c r="S424" s="219">
        <f t="shared" si="43"/>
        <v>91.002009569377989</v>
      </c>
      <c r="AQ424"/>
    </row>
    <row r="425" spans="2:43" x14ac:dyDescent="0.2">
      <c r="B425" s="78">
        <f t="shared" si="44"/>
        <v>4</v>
      </c>
      <c r="C425" s="3"/>
      <c r="D425" s="3"/>
      <c r="E425" s="3"/>
      <c r="F425" s="25" t="s">
        <v>235</v>
      </c>
      <c r="G425" s="3">
        <v>637</v>
      </c>
      <c r="H425" s="3" t="s">
        <v>134</v>
      </c>
      <c r="I425" s="18">
        <v>2075000</v>
      </c>
      <c r="J425" s="18">
        <v>1901942</v>
      </c>
      <c r="K425" s="218">
        <f t="shared" si="39"/>
        <v>91.659855421686743</v>
      </c>
      <c r="L425" s="274"/>
      <c r="M425" s="285"/>
      <c r="N425" s="18"/>
      <c r="O425" s="218"/>
      <c r="P425" s="433"/>
      <c r="Q425" s="285">
        <f t="shared" si="41"/>
        <v>2075000</v>
      </c>
      <c r="R425" s="18">
        <f t="shared" si="42"/>
        <v>1901942</v>
      </c>
      <c r="S425" s="219">
        <f t="shared" si="43"/>
        <v>91.659855421686743</v>
      </c>
      <c r="AQ425"/>
    </row>
    <row r="426" spans="2:43" x14ac:dyDescent="0.2">
      <c r="B426" s="78">
        <f t="shared" si="44"/>
        <v>5</v>
      </c>
      <c r="C426" s="3"/>
      <c r="D426" s="3"/>
      <c r="E426" s="3"/>
      <c r="F426" s="25" t="s">
        <v>235</v>
      </c>
      <c r="G426" s="3">
        <v>637</v>
      </c>
      <c r="H426" s="3" t="s">
        <v>572</v>
      </c>
      <c r="I426" s="18">
        <v>15000</v>
      </c>
      <c r="J426" s="18">
        <v>0</v>
      </c>
      <c r="K426" s="218">
        <f t="shared" si="39"/>
        <v>0</v>
      </c>
      <c r="L426" s="274"/>
      <c r="M426" s="285"/>
      <c r="N426" s="18"/>
      <c r="O426" s="218"/>
      <c r="P426" s="433"/>
      <c r="Q426" s="285">
        <f t="shared" si="41"/>
        <v>15000</v>
      </c>
      <c r="R426" s="18">
        <f t="shared" si="42"/>
        <v>0</v>
      </c>
      <c r="S426" s="219">
        <f t="shared" si="43"/>
        <v>0</v>
      </c>
      <c r="AQ426"/>
    </row>
    <row r="427" spans="2:43" ht="15" x14ac:dyDescent="0.2">
      <c r="B427" s="78">
        <f t="shared" si="44"/>
        <v>6</v>
      </c>
      <c r="C427" s="430">
        <v>2</v>
      </c>
      <c r="D427" s="505" t="s">
        <v>293</v>
      </c>
      <c r="E427" s="494"/>
      <c r="F427" s="494"/>
      <c r="G427" s="494"/>
      <c r="H427" s="495"/>
      <c r="I427" s="35">
        <f>I428+I447</f>
        <v>2231400</v>
      </c>
      <c r="J427" s="35">
        <f>J428+J447</f>
        <v>1825889</v>
      </c>
      <c r="K427" s="218">
        <f t="shared" si="39"/>
        <v>81.827059245316846</v>
      </c>
      <c r="L427" s="271"/>
      <c r="M427" s="282">
        <f>M428+M447</f>
        <v>100000</v>
      </c>
      <c r="N427" s="35">
        <f>N428+N447</f>
        <v>0</v>
      </c>
      <c r="O427" s="218">
        <f t="shared" si="40"/>
        <v>0</v>
      </c>
      <c r="P427" s="433"/>
      <c r="Q427" s="282">
        <f t="shared" si="41"/>
        <v>2331400</v>
      </c>
      <c r="R427" s="35">
        <f t="shared" si="42"/>
        <v>1825889</v>
      </c>
      <c r="S427" s="219">
        <f t="shared" si="43"/>
        <v>78.317277172514366</v>
      </c>
      <c r="AQ427"/>
    </row>
    <row r="428" spans="2:43" ht="15" x14ac:dyDescent="0.25">
      <c r="B428" s="78">
        <f t="shared" si="44"/>
        <v>7</v>
      </c>
      <c r="C428" s="429"/>
      <c r="D428" s="429">
        <v>1</v>
      </c>
      <c r="E428" s="493" t="s">
        <v>301</v>
      </c>
      <c r="F428" s="494"/>
      <c r="G428" s="494"/>
      <c r="H428" s="495"/>
      <c r="I428" s="36">
        <f>I429+I436</f>
        <v>1773400</v>
      </c>
      <c r="J428" s="36">
        <f>J429+J436</f>
        <v>1541887</v>
      </c>
      <c r="K428" s="218">
        <f t="shared" si="39"/>
        <v>86.945246419307537</v>
      </c>
      <c r="L428" s="272"/>
      <c r="M428" s="283">
        <v>0</v>
      </c>
      <c r="N428" s="36">
        <v>0</v>
      </c>
      <c r="O428" s="218"/>
      <c r="P428" s="433"/>
      <c r="Q428" s="283">
        <f t="shared" si="41"/>
        <v>1773400</v>
      </c>
      <c r="R428" s="36">
        <f t="shared" si="42"/>
        <v>1541887</v>
      </c>
      <c r="S428" s="219">
        <f t="shared" si="43"/>
        <v>86.945246419307537</v>
      </c>
      <c r="AQ428"/>
    </row>
    <row r="429" spans="2:43" x14ac:dyDescent="0.2">
      <c r="B429" s="78">
        <f t="shared" si="44"/>
        <v>8</v>
      </c>
      <c r="C429" s="7"/>
      <c r="D429" s="7"/>
      <c r="E429" s="7"/>
      <c r="F429" s="24" t="s">
        <v>235</v>
      </c>
      <c r="G429" s="7">
        <v>630</v>
      </c>
      <c r="H429" s="7" t="s">
        <v>133</v>
      </c>
      <c r="I429" s="22">
        <f>SUM(I430:I435)</f>
        <v>965800</v>
      </c>
      <c r="J429" s="22">
        <f>SUM(J430:J435)</f>
        <v>936702</v>
      </c>
      <c r="K429" s="218">
        <f t="shared" si="39"/>
        <v>96.987160902878443</v>
      </c>
      <c r="L429" s="273"/>
      <c r="M429" s="284"/>
      <c r="N429" s="22"/>
      <c r="O429" s="218"/>
      <c r="P429" s="433"/>
      <c r="Q429" s="284">
        <f t="shared" si="41"/>
        <v>965800</v>
      </c>
      <c r="R429" s="22">
        <f t="shared" si="42"/>
        <v>936702</v>
      </c>
      <c r="S429" s="219">
        <f t="shared" si="43"/>
        <v>96.987160902878443</v>
      </c>
      <c r="AQ429"/>
    </row>
    <row r="430" spans="2:43" x14ac:dyDescent="0.2">
      <c r="B430" s="78">
        <f t="shared" si="44"/>
        <v>9</v>
      </c>
      <c r="C430" s="3"/>
      <c r="D430" s="3"/>
      <c r="E430" s="3"/>
      <c r="F430" s="25" t="s">
        <v>235</v>
      </c>
      <c r="G430" s="3">
        <v>635</v>
      </c>
      <c r="H430" s="3" t="s">
        <v>145</v>
      </c>
      <c r="I430" s="18">
        <f>760000+30000-20000</f>
        <v>770000</v>
      </c>
      <c r="J430" s="18">
        <f>3593+458613+307766</f>
        <v>769972</v>
      </c>
      <c r="K430" s="218">
        <f t="shared" si="39"/>
        <v>99.99636363636364</v>
      </c>
      <c r="L430" s="274"/>
      <c r="M430" s="285"/>
      <c r="N430" s="18"/>
      <c r="O430" s="218"/>
      <c r="P430" s="433"/>
      <c r="Q430" s="285">
        <f t="shared" si="41"/>
        <v>770000</v>
      </c>
      <c r="R430" s="18">
        <f t="shared" si="42"/>
        <v>769972</v>
      </c>
      <c r="S430" s="219">
        <f t="shared" si="43"/>
        <v>99.99636363636364</v>
      </c>
      <c r="AQ430"/>
    </row>
    <row r="431" spans="2:43" x14ac:dyDescent="0.2">
      <c r="B431" s="78">
        <f t="shared" si="44"/>
        <v>10</v>
      </c>
      <c r="C431" s="3"/>
      <c r="D431" s="3"/>
      <c r="E431" s="3"/>
      <c r="F431" s="25" t="s">
        <v>235</v>
      </c>
      <c r="G431" s="3">
        <v>635</v>
      </c>
      <c r="H431" s="3" t="s">
        <v>470</v>
      </c>
      <c r="I431" s="18">
        <v>15000</v>
      </c>
      <c r="J431" s="18">
        <v>1171</v>
      </c>
      <c r="K431" s="218">
        <f t="shared" si="39"/>
        <v>7.8066666666666675</v>
      </c>
      <c r="L431" s="274"/>
      <c r="M431" s="285"/>
      <c r="N431" s="18"/>
      <c r="O431" s="218"/>
      <c r="P431" s="433"/>
      <c r="Q431" s="285">
        <f t="shared" si="41"/>
        <v>15000</v>
      </c>
      <c r="R431" s="18">
        <f t="shared" si="42"/>
        <v>1171</v>
      </c>
      <c r="S431" s="219">
        <f t="shared" si="43"/>
        <v>7.8066666666666675</v>
      </c>
      <c r="AQ431"/>
    </row>
    <row r="432" spans="2:43" x14ac:dyDescent="0.2">
      <c r="B432" s="78">
        <f t="shared" si="44"/>
        <v>11</v>
      </c>
      <c r="C432" s="3"/>
      <c r="D432" s="3"/>
      <c r="E432" s="3"/>
      <c r="F432" s="25" t="s">
        <v>235</v>
      </c>
      <c r="G432" s="3">
        <v>635</v>
      </c>
      <c r="H432" s="50" t="s">
        <v>611</v>
      </c>
      <c r="I432" s="18">
        <f>210000-12000-93000+30000</f>
        <v>135000</v>
      </c>
      <c r="J432" s="18">
        <v>132759</v>
      </c>
      <c r="K432" s="218">
        <f t="shared" si="39"/>
        <v>98.34</v>
      </c>
      <c r="L432" s="274"/>
      <c r="M432" s="285"/>
      <c r="N432" s="18"/>
      <c r="O432" s="218"/>
      <c r="P432" s="433"/>
      <c r="Q432" s="285">
        <f t="shared" si="41"/>
        <v>135000</v>
      </c>
      <c r="R432" s="18">
        <f t="shared" si="42"/>
        <v>132759</v>
      </c>
      <c r="S432" s="219">
        <f t="shared" si="43"/>
        <v>98.34</v>
      </c>
      <c r="AQ432"/>
    </row>
    <row r="433" spans="2:43" x14ac:dyDescent="0.2">
      <c r="B433" s="78">
        <f t="shared" si="44"/>
        <v>12</v>
      </c>
      <c r="C433" s="3"/>
      <c r="D433" s="3"/>
      <c r="E433" s="3"/>
      <c r="F433" s="25" t="s">
        <v>235</v>
      </c>
      <c r="G433" s="3">
        <v>635</v>
      </c>
      <c r="H433" s="3" t="s">
        <v>516</v>
      </c>
      <c r="I433" s="18">
        <v>20000</v>
      </c>
      <c r="J433" s="18">
        <v>19793</v>
      </c>
      <c r="K433" s="218">
        <f t="shared" si="39"/>
        <v>98.965000000000003</v>
      </c>
      <c r="L433" s="274"/>
      <c r="M433" s="285"/>
      <c r="N433" s="18"/>
      <c r="O433" s="218"/>
      <c r="P433" s="433"/>
      <c r="Q433" s="285">
        <f t="shared" si="41"/>
        <v>20000</v>
      </c>
      <c r="R433" s="18">
        <f t="shared" si="42"/>
        <v>19793</v>
      </c>
      <c r="S433" s="219">
        <f t="shared" si="43"/>
        <v>98.965000000000003</v>
      </c>
      <c r="AQ433"/>
    </row>
    <row r="434" spans="2:43" x14ac:dyDescent="0.2">
      <c r="B434" s="78">
        <f t="shared" si="44"/>
        <v>13</v>
      </c>
      <c r="C434" s="3"/>
      <c r="D434" s="3"/>
      <c r="E434" s="3"/>
      <c r="F434" s="25" t="s">
        <v>235</v>
      </c>
      <c r="G434" s="3">
        <v>636</v>
      </c>
      <c r="H434" s="3" t="s">
        <v>138</v>
      </c>
      <c r="I434" s="18">
        <v>3000</v>
      </c>
      <c r="J434" s="18">
        <v>220</v>
      </c>
      <c r="K434" s="218">
        <f t="shared" si="39"/>
        <v>7.333333333333333</v>
      </c>
      <c r="L434" s="274"/>
      <c r="M434" s="285"/>
      <c r="N434" s="18"/>
      <c r="O434" s="218"/>
      <c r="P434" s="433"/>
      <c r="Q434" s="285">
        <f t="shared" si="41"/>
        <v>3000</v>
      </c>
      <c r="R434" s="18">
        <f t="shared" si="42"/>
        <v>220</v>
      </c>
      <c r="S434" s="219">
        <f t="shared" si="43"/>
        <v>7.333333333333333</v>
      </c>
      <c r="AQ434"/>
    </row>
    <row r="435" spans="2:43" x14ac:dyDescent="0.2">
      <c r="B435" s="78">
        <f t="shared" si="44"/>
        <v>14</v>
      </c>
      <c r="C435" s="3"/>
      <c r="D435" s="3"/>
      <c r="E435" s="3"/>
      <c r="F435" s="25" t="s">
        <v>235</v>
      </c>
      <c r="G435" s="3">
        <v>637</v>
      </c>
      <c r="H435" s="3" t="s">
        <v>134</v>
      </c>
      <c r="I435" s="18">
        <v>22800</v>
      </c>
      <c r="J435" s="18">
        <v>12787</v>
      </c>
      <c r="K435" s="218">
        <f t="shared" si="39"/>
        <v>56.083333333333329</v>
      </c>
      <c r="L435" s="274"/>
      <c r="M435" s="285"/>
      <c r="N435" s="18"/>
      <c r="O435" s="218"/>
      <c r="P435" s="433"/>
      <c r="Q435" s="285">
        <f t="shared" si="41"/>
        <v>22800</v>
      </c>
      <c r="R435" s="18">
        <f t="shared" si="42"/>
        <v>12787</v>
      </c>
      <c r="S435" s="219">
        <f t="shared" si="43"/>
        <v>56.083333333333329</v>
      </c>
      <c r="AQ435"/>
    </row>
    <row r="436" spans="2:43" ht="15" x14ac:dyDescent="0.25">
      <c r="B436" s="78">
        <f t="shared" si="44"/>
        <v>15</v>
      </c>
      <c r="C436" s="10"/>
      <c r="D436" s="10"/>
      <c r="E436" s="10">
        <v>2</v>
      </c>
      <c r="F436" s="27"/>
      <c r="G436" s="10"/>
      <c r="H436" s="10" t="s">
        <v>401</v>
      </c>
      <c r="I436" s="37">
        <f>I437+I438+I439+I446</f>
        <v>807600</v>
      </c>
      <c r="J436" s="37">
        <f>J437+J438+J439+J446</f>
        <v>605185</v>
      </c>
      <c r="K436" s="218">
        <f t="shared" si="39"/>
        <v>74.936230807330361</v>
      </c>
      <c r="L436" s="338"/>
      <c r="M436" s="299">
        <v>0</v>
      </c>
      <c r="N436" s="37">
        <v>0</v>
      </c>
      <c r="O436" s="218"/>
      <c r="P436" s="433"/>
      <c r="Q436" s="299">
        <f t="shared" si="41"/>
        <v>807600</v>
      </c>
      <c r="R436" s="37">
        <f t="shared" si="42"/>
        <v>605185</v>
      </c>
      <c r="S436" s="219">
        <f t="shared" si="43"/>
        <v>74.936230807330361</v>
      </c>
      <c r="AQ436"/>
    </row>
    <row r="437" spans="2:43" x14ac:dyDescent="0.2">
      <c r="B437" s="78">
        <f t="shared" si="44"/>
        <v>16</v>
      </c>
      <c r="C437" s="7"/>
      <c r="D437" s="7"/>
      <c r="E437" s="7"/>
      <c r="F437" s="24" t="s">
        <v>235</v>
      </c>
      <c r="G437" s="7">
        <v>610</v>
      </c>
      <c r="H437" s="7" t="s">
        <v>143</v>
      </c>
      <c r="I437" s="22">
        <v>50795</v>
      </c>
      <c r="J437" s="22">
        <v>50575</v>
      </c>
      <c r="K437" s="218">
        <f t="shared" si="39"/>
        <v>99.566886504577226</v>
      </c>
      <c r="L437" s="273"/>
      <c r="M437" s="284"/>
      <c r="N437" s="22"/>
      <c r="O437" s="218"/>
      <c r="P437" s="433"/>
      <c r="Q437" s="284">
        <f t="shared" si="41"/>
        <v>50795</v>
      </c>
      <c r="R437" s="22">
        <f t="shared" si="42"/>
        <v>50575</v>
      </c>
      <c r="S437" s="219">
        <f t="shared" si="43"/>
        <v>99.566886504577226</v>
      </c>
      <c r="AQ437"/>
    </row>
    <row r="438" spans="2:43" x14ac:dyDescent="0.2">
      <c r="B438" s="78">
        <f t="shared" si="44"/>
        <v>17</v>
      </c>
      <c r="C438" s="7"/>
      <c r="D438" s="7"/>
      <c r="E438" s="7"/>
      <c r="F438" s="24" t="s">
        <v>235</v>
      </c>
      <c r="G438" s="7">
        <v>620</v>
      </c>
      <c r="H438" s="7" t="s">
        <v>136</v>
      </c>
      <c r="I438" s="22">
        <v>21860</v>
      </c>
      <c r="J438" s="22">
        <v>17707</v>
      </c>
      <c r="K438" s="218">
        <f t="shared" si="39"/>
        <v>81.001829826166514</v>
      </c>
      <c r="L438" s="273"/>
      <c r="M438" s="284"/>
      <c r="N438" s="22"/>
      <c r="O438" s="218"/>
      <c r="P438" s="433"/>
      <c r="Q438" s="284">
        <f t="shared" si="41"/>
        <v>21860</v>
      </c>
      <c r="R438" s="22">
        <f t="shared" si="42"/>
        <v>17707</v>
      </c>
      <c r="S438" s="219">
        <f t="shared" si="43"/>
        <v>81.001829826166514</v>
      </c>
      <c r="AQ438"/>
    </row>
    <row r="439" spans="2:43" x14ac:dyDescent="0.2">
      <c r="B439" s="78">
        <f t="shared" si="44"/>
        <v>18</v>
      </c>
      <c r="C439" s="7"/>
      <c r="D439" s="7"/>
      <c r="E439" s="7"/>
      <c r="F439" s="24" t="s">
        <v>235</v>
      </c>
      <c r="G439" s="7">
        <v>630</v>
      </c>
      <c r="H439" s="7" t="s">
        <v>133</v>
      </c>
      <c r="I439" s="22">
        <f>SUM(I440:I445)</f>
        <v>734595</v>
      </c>
      <c r="J439" s="22">
        <f>SUM(J440:J445)</f>
        <v>536756</v>
      </c>
      <c r="K439" s="218">
        <f t="shared" si="39"/>
        <v>73.06828932949449</v>
      </c>
      <c r="L439" s="273"/>
      <c r="M439" s="284"/>
      <c r="N439" s="22"/>
      <c r="O439" s="218"/>
      <c r="P439" s="433"/>
      <c r="Q439" s="284">
        <f t="shared" si="41"/>
        <v>734595</v>
      </c>
      <c r="R439" s="22">
        <f t="shared" si="42"/>
        <v>536756</v>
      </c>
      <c r="S439" s="219">
        <f t="shared" si="43"/>
        <v>73.06828932949449</v>
      </c>
      <c r="AQ439"/>
    </row>
    <row r="440" spans="2:43" x14ac:dyDescent="0.2">
      <c r="B440" s="78">
        <f t="shared" si="44"/>
        <v>19</v>
      </c>
      <c r="C440" s="3"/>
      <c r="D440" s="3"/>
      <c r="E440" s="3"/>
      <c r="F440" s="25" t="s">
        <v>235</v>
      </c>
      <c r="G440" s="3">
        <v>633</v>
      </c>
      <c r="H440" s="3" t="s">
        <v>137</v>
      </c>
      <c r="I440" s="18">
        <v>23750</v>
      </c>
      <c r="J440" s="18">
        <v>17066</v>
      </c>
      <c r="K440" s="218">
        <f t="shared" si="39"/>
        <v>71.856842105263169</v>
      </c>
      <c r="L440" s="274"/>
      <c r="M440" s="285"/>
      <c r="N440" s="18"/>
      <c r="O440" s="218"/>
      <c r="P440" s="433"/>
      <c r="Q440" s="285">
        <f t="shared" si="41"/>
        <v>23750</v>
      </c>
      <c r="R440" s="18">
        <f t="shared" si="42"/>
        <v>17066</v>
      </c>
      <c r="S440" s="219">
        <f t="shared" si="43"/>
        <v>71.856842105263169</v>
      </c>
      <c r="AQ440"/>
    </row>
    <row r="441" spans="2:43" x14ac:dyDescent="0.2">
      <c r="B441" s="78">
        <f t="shared" si="44"/>
        <v>20</v>
      </c>
      <c r="C441" s="3"/>
      <c r="D441" s="3"/>
      <c r="E441" s="3"/>
      <c r="F441" s="25" t="s">
        <v>235</v>
      </c>
      <c r="G441" s="3">
        <v>633</v>
      </c>
      <c r="H441" s="3" t="s">
        <v>591</v>
      </c>
      <c r="I441" s="18">
        <v>10000</v>
      </c>
      <c r="J441" s="18">
        <v>9205</v>
      </c>
      <c r="K441" s="218">
        <f t="shared" si="39"/>
        <v>92.05</v>
      </c>
      <c r="L441" s="274"/>
      <c r="M441" s="285"/>
      <c r="N441" s="18"/>
      <c r="O441" s="218"/>
      <c r="P441" s="433"/>
      <c r="Q441" s="285">
        <f t="shared" si="41"/>
        <v>10000</v>
      </c>
      <c r="R441" s="18">
        <f t="shared" si="42"/>
        <v>9205</v>
      </c>
      <c r="S441" s="219">
        <f t="shared" si="43"/>
        <v>92.05</v>
      </c>
      <c r="AQ441"/>
    </row>
    <row r="442" spans="2:43" x14ac:dyDescent="0.2">
      <c r="B442" s="78">
        <f t="shared" si="44"/>
        <v>21</v>
      </c>
      <c r="C442" s="3"/>
      <c r="D442" s="3"/>
      <c r="E442" s="3"/>
      <c r="F442" s="25" t="s">
        <v>235</v>
      </c>
      <c r="G442" s="3">
        <v>634</v>
      </c>
      <c r="H442" s="3" t="s">
        <v>144</v>
      </c>
      <c r="I442" s="18">
        <v>17000</v>
      </c>
      <c r="J442" s="18">
        <v>9652</v>
      </c>
      <c r="K442" s="218">
        <f t="shared" si="39"/>
        <v>56.776470588235298</v>
      </c>
      <c r="L442" s="274"/>
      <c r="M442" s="285"/>
      <c r="N442" s="18"/>
      <c r="O442" s="218"/>
      <c r="P442" s="433"/>
      <c r="Q442" s="285">
        <f t="shared" si="41"/>
        <v>17000</v>
      </c>
      <c r="R442" s="18">
        <f t="shared" si="42"/>
        <v>9652</v>
      </c>
      <c r="S442" s="219">
        <f t="shared" si="43"/>
        <v>56.776470588235298</v>
      </c>
      <c r="AQ442"/>
    </row>
    <row r="443" spans="2:43" x14ac:dyDescent="0.2">
      <c r="B443" s="78">
        <f t="shared" si="44"/>
        <v>22</v>
      </c>
      <c r="C443" s="3"/>
      <c r="D443" s="3"/>
      <c r="E443" s="3"/>
      <c r="F443" s="25" t="s">
        <v>235</v>
      </c>
      <c r="G443" s="3">
        <v>635</v>
      </c>
      <c r="H443" s="3" t="s">
        <v>145</v>
      </c>
      <c r="I443" s="18">
        <f>1000+645345</f>
        <v>646345</v>
      </c>
      <c r="J443" s="18">
        <f>490770-12000</f>
        <v>478770</v>
      </c>
      <c r="K443" s="218">
        <f t="shared" si="39"/>
        <v>74.073443749081363</v>
      </c>
      <c r="L443" s="274"/>
      <c r="M443" s="285"/>
      <c r="N443" s="18"/>
      <c r="O443" s="218"/>
      <c r="P443" s="433"/>
      <c r="Q443" s="285">
        <f t="shared" si="41"/>
        <v>646345</v>
      </c>
      <c r="R443" s="18">
        <f t="shared" si="42"/>
        <v>478770</v>
      </c>
      <c r="S443" s="219">
        <f t="shared" si="43"/>
        <v>74.073443749081363</v>
      </c>
      <c r="AQ443"/>
    </row>
    <row r="444" spans="2:43" x14ac:dyDescent="0.2">
      <c r="B444" s="78">
        <f t="shared" si="44"/>
        <v>23</v>
      </c>
      <c r="C444" s="3"/>
      <c r="D444" s="3"/>
      <c r="E444" s="3"/>
      <c r="F444" s="25" t="s">
        <v>235</v>
      </c>
      <c r="G444" s="3">
        <v>635</v>
      </c>
      <c r="H444" s="3" t="s">
        <v>556</v>
      </c>
      <c r="I444" s="18">
        <v>12000</v>
      </c>
      <c r="J444" s="18">
        <v>12000</v>
      </c>
      <c r="K444" s="218">
        <f t="shared" si="39"/>
        <v>100</v>
      </c>
      <c r="L444" s="274"/>
      <c r="M444" s="285"/>
      <c r="N444" s="18"/>
      <c r="O444" s="218"/>
      <c r="P444" s="433"/>
      <c r="Q444" s="285">
        <f t="shared" si="41"/>
        <v>12000</v>
      </c>
      <c r="R444" s="18">
        <f t="shared" si="42"/>
        <v>12000</v>
      </c>
      <c r="S444" s="219">
        <f t="shared" si="43"/>
        <v>100</v>
      </c>
      <c r="AQ444"/>
    </row>
    <row r="445" spans="2:43" x14ac:dyDescent="0.2">
      <c r="B445" s="78">
        <f t="shared" si="44"/>
        <v>24</v>
      </c>
      <c r="C445" s="3"/>
      <c r="D445" s="3"/>
      <c r="E445" s="3"/>
      <c r="F445" s="25" t="s">
        <v>235</v>
      </c>
      <c r="G445" s="3">
        <v>637</v>
      </c>
      <c r="H445" s="3" t="s">
        <v>134</v>
      </c>
      <c r="I445" s="18">
        <f>31100-4600-1000</f>
        <v>25500</v>
      </c>
      <c r="J445" s="18">
        <v>10063</v>
      </c>
      <c r="K445" s="218">
        <f t="shared" si="39"/>
        <v>39.462745098039214</v>
      </c>
      <c r="L445" s="274"/>
      <c r="M445" s="285"/>
      <c r="N445" s="18"/>
      <c r="O445" s="218"/>
      <c r="P445" s="433"/>
      <c r="Q445" s="285">
        <f t="shared" si="41"/>
        <v>25500</v>
      </c>
      <c r="R445" s="18">
        <f t="shared" si="42"/>
        <v>10063</v>
      </c>
      <c r="S445" s="219">
        <f t="shared" si="43"/>
        <v>39.462745098039214</v>
      </c>
      <c r="AQ445"/>
    </row>
    <row r="446" spans="2:43" x14ac:dyDescent="0.2">
      <c r="B446" s="78">
        <f t="shared" si="44"/>
        <v>25</v>
      </c>
      <c r="C446" s="7"/>
      <c r="D446" s="7"/>
      <c r="E446" s="7"/>
      <c r="F446" s="24" t="s">
        <v>235</v>
      </c>
      <c r="G446" s="7">
        <v>640</v>
      </c>
      <c r="H446" s="7" t="s">
        <v>141</v>
      </c>
      <c r="I446" s="22">
        <v>350</v>
      </c>
      <c r="J446" s="22">
        <v>147</v>
      </c>
      <c r="K446" s="218">
        <f t="shared" si="39"/>
        <v>42</v>
      </c>
      <c r="L446" s="273"/>
      <c r="M446" s="284"/>
      <c r="N446" s="22"/>
      <c r="O446" s="218"/>
      <c r="P446" s="433"/>
      <c r="Q446" s="284">
        <f t="shared" si="41"/>
        <v>350</v>
      </c>
      <c r="R446" s="22">
        <f t="shared" si="42"/>
        <v>147</v>
      </c>
      <c r="S446" s="219">
        <f t="shared" si="43"/>
        <v>42</v>
      </c>
      <c r="AQ446"/>
    </row>
    <row r="447" spans="2:43" ht="15" x14ac:dyDescent="0.25">
      <c r="B447" s="78">
        <f t="shared" si="44"/>
        <v>26</v>
      </c>
      <c r="C447" s="429"/>
      <c r="D447" s="429">
        <v>2</v>
      </c>
      <c r="E447" s="493" t="s">
        <v>302</v>
      </c>
      <c r="F447" s="494"/>
      <c r="G447" s="494"/>
      <c r="H447" s="495"/>
      <c r="I447" s="36">
        <f>I448+I454</f>
        <v>458000</v>
      </c>
      <c r="J447" s="36">
        <f>J448+J454</f>
        <v>284002</v>
      </c>
      <c r="K447" s="218">
        <f t="shared" si="39"/>
        <v>62.009170305676854</v>
      </c>
      <c r="L447" s="272"/>
      <c r="M447" s="283">
        <f>M454</f>
        <v>100000</v>
      </c>
      <c r="N447" s="36">
        <f>N454</f>
        <v>0</v>
      </c>
      <c r="O447" s="218">
        <f t="shared" si="40"/>
        <v>0</v>
      </c>
      <c r="P447" s="433"/>
      <c r="Q447" s="283">
        <f t="shared" si="41"/>
        <v>558000</v>
      </c>
      <c r="R447" s="36">
        <f t="shared" si="42"/>
        <v>284002</v>
      </c>
      <c r="S447" s="219">
        <f t="shared" si="43"/>
        <v>50.896415770609316</v>
      </c>
      <c r="AQ447"/>
    </row>
    <row r="448" spans="2:43" x14ac:dyDescent="0.2">
      <c r="B448" s="78">
        <f t="shared" si="44"/>
        <v>27</v>
      </c>
      <c r="C448" s="7"/>
      <c r="D448" s="7"/>
      <c r="E448" s="7"/>
      <c r="F448" s="24" t="s">
        <v>235</v>
      </c>
      <c r="G448" s="7">
        <v>630</v>
      </c>
      <c r="H448" s="7" t="s">
        <v>133</v>
      </c>
      <c r="I448" s="22">
        <f>I453+I452+I451+I450+I449</f>
        <v>458000</v>
      </c>
      <c r="J448" s="22">
        <f>J453+J452+J451+J450+J449</f>
        <v>284002</v>
      </c>
      <c r="K448" s="218">
        <f t="shared" si="39"/>
        <v>62.009170305676854</v>
      </c>
      <c r="L448" s="273"/>
      <c r="M448" s="284"/>
      <c r="N448" s="22"/>
      <c r="O448" s="218"/>
      <c r="P448" s="433"/>
      <c r="Q448" s="284">
        <f t="shared" si="41"/>
        <v>458000</v>
      </c>
      <c r="R448" s="22">
        <f t="shared" si="42"/>
        <v>284002</v>
      </c>
      <c r="S448" s="219">
        <f t="shared" si="43"/>
        <v>62.009170305676854</v>
      </c>
      <c r="AQ448"/>
    </row>
    <row r="449" spans="2:43" x14ac:dyDescent="0.2">
      <c r="B449" s="78">
        <f t="shared" si="44"/>
        <v>28</v>
      </c>
      <c r="C449" s="3"/>
      <c r="D449" s="3"/>
      <c r="E449" s="3"/>
      <c r="F449" s="25" t="s">
        <v>235</v>
      </c>
      <c r="G449" s="3">
        <v>632</v>
      </c>
      <c r="H449" s="3" t="s">
        <v>146</v>
      </c>
      <c r="I449" s="18">
        <f>102000+10000</f>
        <v>112000</v>
      </c>
      <c r="J449" s="18">
        <v>105783</v>
      </c>
      <c r="K449" s="218">
        <f t="shared" si="39"/>
        <v>94.449107142857144</v>
      </c>
      <c r="L449" s="274"/>
      <c r="M449" s="285"/>
      <c r="N449" s="18"/>
      <c r="O449" s="218"/>
      <c r="P449" s="433"/>
      <c r="Q449" s="285">
        <f t="shared" si="41"/>
        <v>112000</v>
      </c>
      <c r="R449" s="18">
        <f t="shared" si="42"/>
        <v>105783</v>
      </c>
      <c r="S449" s="219">
        <f t="shared" si="43"/>
        <v>94.449107142857144</v>
      </c>
      <c r="AQ449"/>
    </row>
    <row r="450" spans="2:43" x14ac:dyDescent="0.2">
      <c r="B450" s="78">
        <f t="shared" si="44"/>
        <v>29</v>
      </c>
      <c r="C450" s="3"/>
      <c r="D450" s="3"/>
      <c r="E450" s="3"/>
      <c r="F450" s="25" t="s">
        <v>235</v>
      </c>
      <c r="G450" s="3">
        <v>633</v>
      </c>
      <c r="H450" s="3" t="s">
        <v>137</v>
      </c>
      <c r="I450" s="18">
        <f>2500+1000</f>
        <v>3500</v>
      </c>
      <c r="J450" s="18">
        <v>2212</v>
      </c>
      <c r="K450" s="218">
        <f t="shared" si="39"/>
        <v>63.2</v>
      </c>
      <c r="L450" s="274"/>
      <c r="M450" s="285"/>
      <c r="N450" s="18"/>
      <c r="O450" s="218"/>
      <c r="P450" s="433"/>
      <c r="Q450" s="285">
        <f t="shared" si="41"/>
        <v>3500</v>
      </c>
      <c r="R450" s="18">
        <f t="shared" si="42"/>
        <v>2212</v>
      </c>
      <c r="S450" s="219">
        <f t="shared" si="43"/>
        <v>63.2</v>
      </c>
      <c r="AQ450"/>
    </row>
    <row r="451" spans="2:43" x14ac:dyDescent="0.2">
      <c r="B451" s="78">
        <f t="shared" si="44"/>
        <v>30</v>
      </c>
      <c r="C451" s="3"/>
      <c r="D451" s="3"/>
      <c r="E451" s="3"/>
      <c r="F451" s="25" t="s">
        <v>235</v>
      </c>
      <c r="G451" s="3">
        <v>635</v>
      </c>
      <c r="H451" s="3" t="s">
        <v>145</v>
      </c>
      <c r="I451" s="18">
        <f>210000+130000-13000-7000-15000-10000-1000-10000</f>
        <v>284000</v>
      </c>
      <c r="J451" s="18">
        <v>130722</v>
      </c>
      <c r="K451" s="218">
        <f t="shared" si="39"/>
        <v>46.028873239436621</v>
      </c>
      <c r="L451" s="274"/>
      <c r="M451" s="285"/>
      <c r="N451" s="18"/>
      <c r="O451" s="218"/>
      <c r="P451" s="433"/>
      <c r="Q451" s="285">
        <f t="shared" si="41"/>
        <v>284000</v>
      </c>
      <c r="R451" s="18">
        <f t="shared" si="42"/>
        <v>130722</v>
      </c>
      <c r="S451" s="219">
        <f t="shared" si="43"/>
        <v>46.028873239436621</v>
      </c>
      <c r="AQ451"/>
    </row>
    <row r="452" spans="2:43" x14ac:dyDescent="0.2">
      <c r="B452" s="78">
        <f t="shared" si="44"/>
        <v>31</v>
      </c>
      <c r="C452" s="3"/>
      <c r="D452" s="3"/>
      <c r="E452" s="3"/>
      <c r="F452" s="25" t="s">
        <v>235</v>
      </c>
      <c r="G452" s="3">
        <v>636</v>
      </c>
      <c r="H452" s="3" t="s">
        <v>138</v>
      </c>
      <c r="I452" s="18">
        <f>47000-10000</f>
        <v>37000</v>
      </c>
      <c r="J452" s="18">
        <v>29458</v>
      </c>
      <c r="K452" s="218">
        <f t="shared" si="39"/>
        <v>79.616216216216216</v>
      </c>
      <c r="L452" s="274"/>
      <c r="M452" s="285"/>
      <c r="N452" s="18"/>
      <c r="O452" s="218"/>
      <c r="P452" s="433"/>
      <c r="Q452" s="285">
        <f t="shared" si="41"/>
        <v>37000</v>
      </c>
      <c r="R452" s="18">
        <f t="shared" si="42"/>
        <v>29458</v>
      </c>
      <c r="S452" s="219">
        <f t="shared" si="43"/>
        <v>79.616216216216216</v>
      </c>
      <c r="AQ452"/>
    </row>
    <row r="453" spans="2:43" x14ac:dyDescent="0.2">
      <c r="B453" s="78">
        <f t="shared" si="44"/>
        <v>32</v>
      </c>
      <c r="C453" s="3"/>
      <c r="D453" s="3"/>
      <c r="E453" s="3"/>
      <c r="F453" s="25" t="s">
        <v>235</v>
      </c>
      <c r="G453" s="3">
        <v>637</v>
      </c>
      <c r="H453" s="3" t="s">
        <v>134</v>
      </c>
      <c r="I453" s="18">
        <f>31500-10000</f>
        <v>21500</v>
      </c>
      <c r="J453" s="18">
        <v>15827</v>
      </c>
      <c r="K453" s="218">
        <f t="shared" si="39"/>
        <v>73.61395348837209</v>
      </c>
      <c r="L453" s="274"/>
      <c r="M453" s="285"/>
      <c r="N453" s="18"/>
      <c r="O453" s="218"/>
      <c r="P453" s="433"/>
      <c r="Q453" s="285">
        <f t="shared" si="41"/>
        <v>21500</v>
      </c>
      <c r="R453" s="18">
        <f t="shared" si="42"/>
        <v>15827</v>
      </c>
      <c r="S453" s="219">
        <f t="shared" si="43"/>
        <v>73.61395348837209</v>
      </c>
      <c r="AQ453"/>
    </row>
    <row r="454" spans="2:43" x14ac:dyDescent="0.2">
      <c r="B454" s="78">
        <f t="shared" si="44"/>
        <v>33</v>
      </c>
      <c r="C454" s="7"/>
      <c r="D454" s="7"/>
      <c r="E454" s="7"/>
      <c r="F454" s="24" t="s">
        <v>235</v>
      </c>
      <c r="G454" s="7">
        <v>710</v>
      </c>
      <c r="H454" s="7" t="s">
        <v>188</v>
      </c>
      <c r="I454" s="22"/>
      <c r="J454" s="22"/>
      <c r="K454" s="218"/>
      <c r="L454" s="273"/>
      <c r="M454" s="284">
        <f>M455</f>
        <v>100000</v>
      </c>
      <c r="N454" s="22">
        <f>N455</f>
        <v>0</v>
      </c>
      <c r="O454" s="218">
        <f t="shared" si="40"/>
        <v>0</v>
      </c>
      <c r="P454" s="433"/>
      <c r="Q454" s="284">
        <f t="shared" si="41"/>
        <v>100000</v>
      </c>
      <c r="R454" s="22">
        <f t="shared" si="42"/>
        <v>0</v>
      </c>
      <c r="S454" s="219">
        <f t="shared" si="43"/>
        <v>0</v>
      </c>
      <c r="AQ454"/>
    </row>
    <row r="455" spans="2:43" x14ac:dyDescent="0.2">
      <c r="B455" s="78">
        <f t="shared" si="44"/>
        <v>34</v>
      </c>
      <c r="C455" s="3"/>
      <c r="D455" s="3"/>
      <c r="E455" s="3"/>
      <c r="F455" s="25" t="s">
        <v>235</v>
      </c>
      <c r="G455" s="3">
        <v>713</v>
      </c>
      <c r="H455" s="3" t="s">
        <v>234</v>
      </c>
      <c r="I455" s="18"/>
      <c r="J455" s="18"/>
      <c r="K455" s="218"/>
      <c r="L455" s="274"/>
      <c r="M455" s="285">
        <f>M456</f>
        <v>100000</v>
      </c>
      <c r="N455" s="18">
        <f>N456</f>
        <v>0</v>
      </c>
      <c r="O455" s="218">
        <f t="shared" si="40"/>
        <v>0</v>
      </c>
      <c r="P455" s="433"/>
      <c r="Q455" s="285">
        <f t="shared" si="41"/>
        <v>100000</v>
      </c>
      <c r="R455" s="18">
        <f t="shared" si="42"/>
        <v>0</v>
      </c>
      <c r="S455" s="219">
        <f t="shared" si="43"/>
        <v>0</v>
      </c>
      <c r="AQ455"/>
    </row>
    <row r="456" spans="2:43" x14ac:dyDescent="0.2">
      <c r="B456" s="78">
        <f t="shared" si="44"/>
        <v>35</v>
      </c>
      <c r="C456" s="4"/>
      <c r="D456" s="4"/>
      <c r="E456" s="4"/>
      <c r="F456" s="30"/>
      <c r="G456" s="4"/>
      <c r="H456" s="4" t="s">
        <v>364</v>
      </c>
      <c r="I456" s="20"/>
      <c r="J456" s="20"/>
      <c r="K456" s="218"/>
      <c r="L456" s="275"/>
      <c r="M456" s="286">
        <v>100000</v>
      </c>
      <c r="N456" s="20">
        <v>0</v>
      </c>
      <c r="O456" s="218">
        <f t="shared" si="40"/>
        <v>0</v>
      </c>
      <c r="P456" s="433"/>
      <c r="Q456" s="286">
        <f t="shared" si="41"/>
        <v>100000</v>
      </c>
      <c r="R456" s="20">
        <f t="shared" si="42"/>
        <v>0</v>
      </c>
      <c r="S456" s="219">
        <f t="shared" si="43"/>
        <v>0</v>
      </c>
      <c r="AQ456"/>
    </row>
    <row r="457" spans="2:43" ht="15" x14ac:dyDescent="0.2">
      <c r="B457" s="78">
        <f t="shared" si="44"/>
        <v>36</v>
      </c>
      <c r="C457" s="430">
        <v>3</v>
      </c>
      <c r="D457" s="505" t="s">
        <v>239</v>
      </c>
      <c r="E457" s="494"/>
      <c r="F457" s="494"/>
      <c r="G457" s="494"/>
      <c r="H457" s="495"/>
      <c r="I457" s="35">
        <v>0</v>
      </c>
      <c r="J457" s="35"/>
      <c r="K457" s="218"/>
      <c r="L457" s="271"/>
      <c r="M457" s="282">
        <f>M458</f>
        <v>7300356</v>
      </c>
      <c r="N457" s="35">
        <f>N458</f>
        <v>4174837</v>
      </c>
      <c r="O457" s="218">
        <f t="shared" si="40"/>
        <v>57.186759111473471</v>
      </c>
      <c r="P457" s="433"/>
      <c r="Q457" s="282">
        <f t="shared" si="41"/>
        <v>7300356</v>
      </c>
      <c r="R457" s="35">
        <f t="shared" si="42"/>
        <v>4174837</v>
      </c>
      <c r="S457" s="219">
        <f t="shared" si="43"/>
        <v>57.186759111473471</v>
      </c>
      <c r="AQ457"/>
    </row>
    <row r="458" spans="2:43" x14ac:dyDescent="0.2">
      <c r="B458" s="78">
        <f t="shared" si="44"/>
        <v>37</v>
      </c>
      <c r="C458" s="7"/>
      <c r="D458" s="7"/>
      <c r="E458" s="7"/>
      <c r="F458" s="24" t="s">
        <v>235</v>
      </c>
      <c r="G458" s="7">
        <v>710</v>
      </c>
      <c r="H458" s="7" t="s">
        <v>188</v>
      </c>
      <c r="I458" s="22"/>
      <c r="J458" s="22"/>
      <c r="K458" s="218"/>
      <c r="L458" s="273"/>
      <c r="M458" s="284">
        <f>M461+M480+M459</f>
        <v>7300356</v>
      </c>
      <c r="N458" s="22">
        <f>N461+N480+N459</f>
        <v>4174837</v>
      </c>
      <c r="O458" s="218">
        <f t="shared" si="40"/>
        <v>57.186759111473471</v>
      </c>
      <c r="P458" s="433"/>
      <c r="Q458" s="284">
        <f t="shared" si="41"/>
        <v>7300356</v>
      </c>
      <c r="R458" s="22">
        <f t="shared" si="42"/>
        <v>4174837</v>
      </c>
      <c r="S458" s="219">
        <f t="shared" si="43"/>
        <v>57.186759111473471</v>
      </c>
      <c r="AQ458"/>
    </row>
    <row r="459" spans="2:43" x14ac:dyDescent="0.2">
      <c r="B459" s="78">
        <f t="shared" si="44"/>
        <v>38</v>
      </c>
      <c r="C459" s="7"/>
      <c r="D459" s="7"/>
      <c r="E459" s="7"/>
      <c r="F459" s="25" t="s">
        <v>235</v>
      </c>
      <c r="G459" s="3">
        <v>711</v>
      </c>
      <c r="H459" s="3" t="s">
        <v>224</v>
      </c>
      <c r="I459" s="22"/>
      <c r="J459" s="22"/>
      <c r="K459" s="218"/>
      <c r="L459" s="273"/>
      <c r="M459" s="300">
        <f>M460</f>
        <v>576000</v>
      </c>
      <c r="N459" s="19">
        <f>N460</f>
        <v>0</v>
      </c>
      <c r="O459" s="218">
        <f t="shared" si="40"/>
        <v>0</v>
      </c>
      <c r="P459" s="433"/>
      <c r="Q459" s="300">
        <f>Q460</f>
        <v>576000</v>
      </c>
      <c r="R459" s="19">
        <f>R460</f>
        <v>0</v>
      </c>
      <c r="S459" s="219">
        <f t="shared" si="43"/>
        <v>0</v>
      </c>
      <c r="AQ459"/>
    </row>
    <row r="460" spans="2:43" ht="22.5" x14ac:dyDescent="0.2">
      <c r="B460" s="190">
        <f t="shared" si="44"/>
        <v>39</v>
      </c>
      <c r="C460" s="202"/>
      <c r="D460" s="202"/>
      <c r="E460" s="202"/>
      <c r="F460" s="135"/>
      <c r="G460" s="134"/>
      <c r="H460" s="191" t="s">
        <v>655</v>
      </c>
      <c r="I460" s="203"/>
      <c r="J460" s="203"/>
      <c r="K460" s="464"/>
      <c r="L460" s="465"/>
      <c r="M460" s="340">
        <v>576000</v>
      </c>
      <c r="N460" s="154"/>
      <c r="O460" s="218">
        <f t="shared" si="40"/>
        <v>0</v>
      </c>
      <c r="P460" s="433"/>
      <c r="Q460" s="340">
        <f>M460</f>
        <v>576000</v>
      </c>
      <c r="R460" s="154">
        <f>N460</f>
        <v>0</v>
      </c>
      <c r="S460" s="219">
        <f t="shared" si="43"/>
        <v>0</v>
      </c>
      <c r="AQ460"/>
    </row>
    <row r="461" spans="2:43" x14ac:dyDescent="0.2">
      <c r="B461" s="78">
        <f t="shared" si="44"/>
        <v>40</v>
      </c>
      <c r="C461" s="3"/>
      <c r="D461" s="3"/>
      <c r="E461" s="3"/>
      <c r="F461" s="25" t="s">
        <v>235</v>
      </c>
      <c r="G461" s="3">
        <v>716</v>
      </c>
      <c r="H461" s="50" t="s">
        <v>231</v>
      </c>
      <c r="I461" s="19"/>
      <c r="J461" s="19"/>
      <c r="K461" s="464"/>
      <c r="L461" s="466"/>
      <c r="M461" s="300">
        <f>SUM(M462:M479)</f>
        <v>115449</v>
      </c>
      <c r="N461" s="19">
        <f>SUM(N462:N479)</f>
        <v>92379</v>
      </c>
      <c r="O461" s="218">
        <f t="shared" si="40"/>
        <v>80.017150430060028</v>
      </c>
      <c r="P461" s="433"/>
      <c r="Q461" s="285">
        <f t="shared" ref="Q461:Q492" si="45">I461+M461</f>
        <v>115449</v>
      </c>
      <c r="R461" s="18">
        <f t="shared" ref="R461:R492" si="46">J461+N461</f>
        <v>92379</v>
      </c>
      <c r="S461" s="219">
        <f t="shared" si="43"/>
        <v>80.017150430060028</v>
      </c>
      <c r="AQ461"/>
    </row>
    <row r="462" spans="2:43" x14ac:dyDescent="0.2">
      <c r="B462" s="78">
        <f t="shared" si="44"/>
        <v>41</v>
      </c>
      <c r="C462" s="4"/>
      <c r="D462" s="4"/>
      <c r="E462" s="4"/>
      <c r="F462" s="26"/>
      <c r="G462" s="4"/>
      <c r="H462" s="44" t="s">
        <v>378</v>
      </c>
      <c r="I462" s="21"/>
      <c r="J462" s="21"/>
      <c r="K462" s="464"/>
      <c r="L462" s="467"/>
      <c r="M462" s="298">
        <v>19730</v>
      </c>
      <c r="N462" s="21">
        <v>19552</v>
      </c>
      <c r="O462" s="218">
        <f t="shared" si="40"/>
        <v>99.097820577800306</v>
      </c>
      <c r="P462" s="433"/>
      <c r="Q462" s="286">
        <f t="shared" si="45"/>
        <v>19730</v>
      </c>
      <c r="R462" s="20">
        <f t="shared" si="46"/>
        <v>19552</v>
      </c>
      <c r="S462" s="219">
        <f t="shared" si="43"/>
        <v>99.097820577800306</v>
      </c>
      <c r="AQ462"/>
    </row>
    <row r="463" spans="2:43" x14ac:dyDescent="0.2">
      <c r="B463" s="78">
        <f t="shared" si="44"/>
        <v>42</v>
      </c>
      <c r="C463" s="4"/>
      <c r="D463" s="4"/>
      <c r="E463" s="4"/>
      <c r="F463" s="26"/>
      <c r="G463" s="4"/>
      <c r="H463" s="44" t="s">
        <v>438</v>
      </c>
      <c r="I463" s="21"/>
      <c r="J463" s="21"/>
      <c r="K463" s="464"/>
      <c r="L463" s="467"/>
      <c r="M463" s="298">
        <v>2000</v>
      </c>
      <c r="N463" s="21">
        <v>1920</v>
      </c>
      <c r="O463" s="218">
        <f t="shared" si="40"/>
        <v>96</v>
      </c>
      <c r="P463" s="433"/>
      <c r="Q463" s="286">
        <f t="shared" si="45"/>
        <v>2000</v>
      </c>
      <c r="R463" s="20">
        <f t="shared" si="46"/>
        <v>1920</v>
      </c>
      <c r="S463" s="219">
        <f t="shared" si="43"/>
        <v>96</v>
      </c>
      <c r="AQ463"/>
    </row>
    <row r="464" spans="2:43" x14ac:dyDescent="0.2">
      <c r="B464" s="78">
        <f t="shared" si="44"/>
        <v>43</v>
      </c>
      <c r="C464" s="4"/>
      <c r="D464" s="4"/>
      <c r="E464" s="4"/>
      <c r="F464" s="26"/>
      <c r="G464" s="4"/>
      <c r="H464" s="44" t="s">
        <v>379</v>
      </c>
      <c r="I464" s="21"/>
      <c r="J464" s="21"/>
      <c r="K464" s="464"/>
      <c r="L464" s="467"/>
      <c r="M464" s="298">
        <v>1250</v>
      </c>
      <c r="N464" s="21">
        <v>1092</v>
      </c>
      <c r="O464" s="218">
        <f t="shared" si="40"/>
        <v>87.36</v>
      </c>
      <c r="P464" s="433"/>
      <c r="Q464" s="286">
        <f t="shared" si="45"/>
        <v>1250</v>
      </c>
      <c r="R464" s="20">
        <f t="shared" si="46"/>
        <v>1092</v>
      </c>
      <c r="S464" s="219">
        <f t="shared" si="43"/>
        <v>87.36</v>
      </c>
      <c r="AQ464"/>
    </row>
    <row r="465" spans="2:43" x14ac:dyDescent="0.2">
      <c r="B465" s="78">
        <f t="shared" si="44"/>
        <v>44</v>
      </c>
      <c r="C465" s="4"/>
      <c r="D465" s="4"/>
      <c r="E465" s="4"/>
      <c r="F465" s="26"/>
      <c r="G465" s="4"/>
      <c r="H465" s="44" t="s">
        <v>477</v>
      </c>
      <c r="I465" s="21"/>
      <c r="J465" s="21"/>
      <c r="K465" s="464"/>
      <c r="L465" s="467"/>
      <c r="M465" s="298">
        <v>5000</v>
      </c>
      <c r="N465" s="21">
        <v>3799</v>
      </c>
      <c r="O465" s="218">
        <f t="shared" si="40"/>
        <v>75.98</v>
      </c>
      <c r="P465" s="433"/>
      <c r="Q465" s="286">
        <f t="shared" si="45"/>
        <v>5000</v>
      </c>
      <c r="R465" s="20">
        <f t="shared" si="46"/>
        <v>3799</v>
      </c>
      <c r="S465" s="219">
        <f t="shared" si="43"/>
        <v>75.98</v>
      </c>
      <c r="AQ465"/>
    </row>
    <row r="466" spans="2:43" x14ac:dyDescent="0.2">
      <c r="B466" s="78">
        <f t="shared" si="44"/>
        <v>45</v>
      </c>
      <c r="C466" s="4"/>
      <c r="D466" s="4"/>
      <c r="E466" s="4"/>
      <c r="F466" s="26"/>
      <c r="G466" s="4"/>
      <c r="H466" s="44" t="s">
        <v>446</v>
      </c>
      <c r="I466" s="21"/>
      <c r="J466" s="21"/>
      <c r="K466" s="464"/>
      <c r="L466" s="467"/>
      <c r="M466" s="298">
        <f>800+150</f>
        <v>950</v>
      </c>
      <c r="N466" s="21">
        <v>793</v>
      </c>
      <c r="O466" s="218">
        <f t="shared" si="40"/>
        <v>83.473684210526315</v>
      </c>
      <c r="P466" s="433"/>
      <c r="Q466" s="286">
        <f t="shared" si="45"/>
        <v>950</v>
      </c>
      <c r="R466" s="20">
        <f t="shared" si="46"/>
        <v>793</v>
      </c>
      <c r="S466" s="219">
        <f t="shared" si="43"/>
        <v>83.473684210526315</v>
      </c>
      <c r="AQ466"/>
    </row>
    <row r="467" spans="2:43" x14ac:dyDescent="0.2">
      <c r="B467" s="78">
        <f t="shared" si="44"/>
        <v>46</v>
      </c>
      <c r="C467" s="4"/>
      <c r="D467" s="4"/>
      <c r="E467" s="4"/>
      <c r="F467" s="26"/>
      <c r="G467" s="4"/>
      <c r="H467" s="4" t="s">
        <v>37</v>
      </c>
      <c r="I467" s="20"/>
      <c r="J467" s="20"/>
      <c r="K467" s="218"/>
      <c r="L467" s="275"/>
      <c r="M467" s="286">
        <f>2000+9000</f>
        <v>11000</v>
      </c>
      <c r="N467" s="20">
        <v>10824</v>
      </c>
      <c r="O467" s="218">
        <f t="shared" si="40"/>
        <v>98.4</v>
      </c>
      <c r="P467" s="433"/>
      <c r="Q467" s="286">
        <f t="shared" si="45"/>
        <v>11000</v>
      </c>
      <c r="R467" s="20">
        <f t="shared" si="46"/>
        <v>10824</v>
      </c>
      <c r="S467" s="219">
        <f t="shared" si="43"/>
        <v>98.4</v>
      </c>
      <c r="AQ467"/>
    </row>
    <row r="468" spans="2:43" x14ac:dyDescent="0.2">
      <c r="B468" s="78">
        <f t="shared" si="44"/>
        <v>47</v>
      </c>
      <c r="C468" s="4"/>
      <c r="D468" s="4"/>
      <c r="E468" s="4"/>
      <c r="F468" s="26"/>
      <c r="G468" s="4"/>
      <c r="H468" s="4" t="s">
        <v>484</v>
      </c>
      <c r="I468" s="20"/>
      <c r="J468" s="20"/>
      <c r="K468" s="218"/>
      <c r="L468" s="275"/>
      <c r="M468" s="286">
        <v>10000</v>
      </c>
      <c r="N468" s="20">
        <v>1665</v>
      </c>
      <c r="O468" s="218">
        <f t="shared" si="40"/>
        <v>16.650000000000002</v>
      </c>
      <c r="P468" s="433"/>
      <c r="Q468" s="286">
        <f t="shared" si="45"/>
        <v>10000</v>
      </c>
      <c r="R468" s="20">
        <f t="shared" si="46"/>
        <v>1665</v>
      </c>
      <c r="S468" s="219">
        <f t="shared" si="43"/>
        <v>16.650000000000002</v>
      </c>
      <c r="AQ468"/>
    </row>
    <row r="469" spans="2:43" x14ac:dyDescent="0.2">
      <c r="B469" s="78">
        <f t="shared" si="44"/>
        <v>48</v>
      </c>
      <c r="C469" s="44"/>
      <c r="D469" s="44"/>
      <c r="E469" s="44"/>
      <c r="F469" s="147"/>
      <c r="G469" s="44"/>
      <c r="H469" s="44" t="s">
        <v>498</v>
      </c>
      <c r="I469" s="21"/>
      <c r="J469" s="21"/>
      <c r="K469" s="218"/>
      <c r="L469" s="275"/>
      <c r="M469" s="298">
        <v>3000</v>
      </c>
      <c r="N469" s="21">
        <v>949</v>
      </c>
      <c r="O469" s="218">
        <f t="shared" si="40"/>
        <v>31.633333333333336</v>
      </c>
      <c r="P469" s="433"/>
      <c r="Q469" s="298">
        <f t="shared" si="45"/>
        <v>3000</v>
      </c>
      <c r="R469" s="21">
        <f t="shared" si="46"/>
        <v>949</v>
      </c>
      <c r="S469" s="219">
        <f t="shared" si="43"/>
        <v>31.633333333333336</v>
      </c>
      <c r="AQ469"/>
    </row>
    <row r="470" spans="2:43" x14ac:dyDescent="0.2">
      <c r="B470" s="78">
        <f t="shared" si="44"/>
        <v>49</v>
      </c>
      <c r="C470" s="4"/>
      <c r="D470" s="4"/>
      <c r="E470" s="4"/>
      <c r="F470" s="26"/>
      <c r="G470" s="4"/>
      <c r="H470" s="44" t="s">
        <v>381</v>
      </c>
      <c r="I470" s="21"/>
      <c r="J470" s="21"/>
      <c r="K470" s="218"/>
      <c r="L470" s="275"/>
      <c r="M470" s="298">
        <f>25000+10500+10000+3000</f>
        <v>48500</v>
      </c>
      <c r="N470" s="21">
        <v>43096</v>
      </c>
      <c r="O470" s="218">
        <f t="shared" si="40"/>
        <v>88.857731958762884</v>
      </c>
      <c r="P470" s="433"/>
      <c r="Q470" s="298">
        <f t="shared" si="45"/>
        <v>48500</v>
      </c>
      <c r="R470" s="21">
        <f t="shared" si="46"/>
        <v>43096</v>
      </c>
      <c r="S470" s="219">
        <f t="shared" si="43"/>
        <v>88.857731958762884</v>
      </c>
      <c r="AQ470"/>
    </row>
    <row r="471" spans="2:43" x14ac:dyDescent="0.2">
      <c r="B471" s="78">
        <f t="shared" si="44"/>
        <v>50</v>
      </c>
      <c r="C471" s="4"/>
      <c r="D471" s="4"/>
      <c r="E471" s="4"/>
      <c r="F471" s="26"/>
      <c r="G471" s="4"/>
      <c r="H471" s="4" t="s">
        <v>295</v>
      </c>
      <c r="I471" s="20"/>
      <c r="J471" s="20"/>
      <c r="K471" s="218"/>
      <c r="L471" s="275"/>
      <c r="M471" s="286">
        <f>1480-388</f>
        <v>1092</v>
      </c>
      <c r="N471" s="20">
        <v>1092</v>
      </c>
      <c r="O471" s="218">
        <f t="shared" si="40"/>
        <v>100</v>
      </c>
      <c r="P471" s="433"/>
      <c r="Q471" s="286">
        <f t="shared" si="45"/>
        <v>1092</v>
      </c>
      <c r="R471" s="20">
        <f t="shared" si="46"/>
        <v>1092</v>
      </c>
      <c r="S471" s="219">
        <f t="shared" si="43"/>
        <v>100</v>
      </c>
      <c r="AQ471"/>
    </row>
    <row r="472" spans="2:43" x14ac:dyDescent="0.2">
      <c r="B472" s="78">
        <f t="shared" si="44"/>
        <v>51</v>
      </c>
      <c r="C472" s="4"/>
      <c r="D472" s="4"/>
      <c r="E472" s="4"/>
      <c r="F472" s="26"/>
      <c r="G472" s="4"/>
      <c r="H472" s="4" t="s">
        <v>505</v>
      </c>
      <c r="I472" s="20"/>
      <c r="J472" s="20"/>
      <c r="K472" s="218"/>
      <c r="L472" s="275"/>
      <c r="M472" s="286">
        <f>227+200</f>
        <v>427</v>
      </c>
      <c r="N472" s="20">
        <v>394</v>
      </c>
      <c r="O472" s="218">
        <f t="shared" si="40"/>
        <v>92.27166276346604</v>
      </c>
      <c r="P472" s="433"/>
      <c r="Q472" s="286">
        <f t="shared" si="45"/>
        <v>427</v>
      </c>
      <c r="R472" s="20">
        <f t="shared" si="46"/>
        <v>394</v>
      </c>
      <c r="S472" s="219">
        <f t="shared" si="43"/>
        <v>92.27166276346604</v>
      </c>
      <c r="AQ472"/>
    </row>
    <row r="473" spans="2:43" ht="33.75" x14ac:dyDescent="0.2">
      <c r="B473" s="190">
        <f t="shared" si="44"/>
        <v>52</v>
      </c>
      <c r="C473" s="134"/>
      <c r="D473" s="134"/>
      <c r="E473" s="134"/>
      <c r="F473" s="135"/>
      <c r="G473" s="134"/>
      <c r="H473" s="191" t="s">
        <v>600</v>
      </c>
      <c r="I473" s="136"/>
      <c r="J473" s="136"/>
      <c r="K473" s="218"/>
      <c r="L473" s="339"/>
      <c r="M473" s="301">
        <f>500-320</f>
        <v>180</v>
      </c>
      <c r="N473" s="136">
        <v>180</v>
      </c>
      <c r="O473" s="218">
        <f t="shared" si="40"/>
        <v>100</v>
      </c>
      <c r="P473" s="433"/>
      <c r="Q473" s="301">
        <f t="shared" si="45"/>
        <v>180</v>
      </c>
      <c r="R473" s="136">
        <f t="shared" si="46"/>
        <v>180</v>
      </c>
      <c r="S473" s="219">
        <f t="shared" si="43"/>
        <v>100</v>
      </c>
      <c r="AQ473"/>
    </row>
    <row r="474" spans="2:43" ht="22.5" x14ac:dyDescent="0.2">
      <c r="B474" s="190">
        <f t="shared" si="44"/>
        <v>53</v>
      </c>
      <c r="C474" s="4"/>
      <c r="D474" s="4"/>
      <c r="E474" s="4"/>
      <c r="F474" s="26"/>
      <c r="G474" s="4"/>
      <c r="H474" s="186" t="s">
        <v>610</v>
      </c>
      <c r="I474" s="20"/>
      <c r="J474" s="20"/>
      <c r="K474" s="218"/>
      <c r="L474" s="275"/>
      <c r="M474" s="286">
        <v>320</v>
      </c>
      <c r="N474" s="20">
        <v>320</v>
      </c>
      <c r="O474" s="218">
        <f t="shared" si="40"/>
        <v>100</v>
      </c>
      <c r="P474" s="433"/>
      <c r="Q474" s="286">
        <f t="shared" si="45"/>
        <v>320</v>
      </c>
      <c r="R474" s="20">
        <f t="shared" si="46"/>
        <v>320</v>
      </c>
      <c r="S474" s="219">
        <f t="shared" si="43"/>
        <v>100</v>
      </c>
      <c r="AQ474"/>
    </row>
    <row r="475" spans="2:43" x14ac:dyDescent="0.2">
      <c r="B475" s="190">
        <f t="shared" si="44"/>
        <v>54</v>
      </c>
      <c r="C475" s="4"/>
      <c r="D475" s="4"/>
      <c r="E475" s="4"/>
      <c r="F475" s="26"/>
      <c r="G475" s="4"/>
      <c r="H475" s="44" t="s">
        <v>464</v>
      </c>
      <c r="I475" s="20"/>
      <c r="J475" s="20"/>
      <c r="K475" s="218"/>
      <c r="L475" s="275"/>
      <c r="M475" s="286">
        <v>2500</v>
      </c>
      <c r="N475" s="20"/>
      <c r="O475" s="218">
        <f t="shared" si="40"/>
        <v>0</v>
      </c>
      <c r="P475" s="433"/>
      <c r="Q475" s="286">
        <f t="shared" si="45"/>
        <v>2500</v>
      </c>
      <c r="R475" s="20">
        <f t="shared" si="46"/>
        <v>0</v>
      </c>
      <c r="S475" s="219">
        <f t="shared" si="43"/>
        <v>0</v>
      </c>
      <c r="AQ475"/>
    </row>
    <row r="476" spans="2:43" x14ac:dyDescent="0.2">
      <c r="B476" s="190">
        <f t="shared" si="44"/>
        <v>55</v>
      </c>
      <c r="C476" s="4"/>
      <c r="D476" s="4"/>
      <c r="E476" s="4"/>
      <c r="F476" s="26"/>
      <c r="G476" s="4"/>
      <c r="H476" s="44" t="s">
        <v>520</v>
      </c>
      <c r="I476" s="21"/>
      <c r="J476" s="21"/>
      <c r="K476" s="464"/>
      <c r="L476" s="467"/>
      <c r="M476" s="298">
        <v>1000</v>
      </c>
      <c r="N476" s="21">
        <v>720</v>
      </c>
      <c r="O476" s="218">
        <f t="shared" si="40"/>
        <v>72</v>
      </c>
      <c r="P476" s="433"/>
      <c r="Q476" s="286">
        <f t="shared" si="45"/>
        <v>1000</v>
      </c>
      <c r="R476" s="20">
        <f t="shared" si="46"/>
        <v>720</v>
      </c>
      <c r="S476" s="219">
        <f t="shared" si="43"/>
        <v>72</v>
      </c>
      <c r="AQ476"/>
    </row>
    <row r="477" spans="2:43" x14ac:dyDescent="0.2">
      <c r="B477" s="190">
        <f t="shared" si="44"/>
        <v>56</v>
      </c>
      <c r="C477" s="4"/>
      <c r="D477" s="4"/>
      <c r="E477" s="4"/>
      <c r="F477" s="26"/>
      <c r="G477" s="4"/>
      <c r="H477" s="44" t="s">
        <v>469</v>
      </c>
      <c r="I477" s="21"/>
      <c r="J477" s="21"/>
      <c r="K477" s="464"/>
      <c r="L477" s="467"/>
      <c r="M477" s="298">
        <v>3000</v>
      </c>
      <c r="N477" s="21">
        <v>764</v>
      </c>
      <c r="O477" s="218">
        <f t="shared" si="40"/>
        <v>25.466666666666665</v>
      </c>
      <c r="P477" s="433"/>
      <c r="Q477" s="286">
        <f t="shared" si="45"/>
        <v>3000</v>
      </c>
      <c r="R477" s="20">
        <f t="shared" si="46"/>
        <v>764</v>
      </c>
      <c r="S477" s="219">
        <f t="shared" si="43"/>
        <v>25.466666666666665</v>
      </c>
      <c r="AQ477"/>
    </row>
    <row r="478" spans="2:43" x14ac:dyDescent="0.2">
      <c r="B478" s="190">
        <f t="shared" si="44"/>
        <v>57</v>
      </c>
      <c r="C478" s="4"/>
      <c r="D478" s="4"/>
      <c r="E478" s="4"/>
      <c r="F478" s="26"/>
      <c r="G478" s="4"/>
      <c r="H478" s="44" t="s">
        <v>485</v>
      </c>
      <c r="I478" s="21"/>
      <c r="J478" s="21"/>
      <c r="K478" s="464"/>
      <c r="L478" s="467"/>
      <c r="M478" s="298">
        <f>3000+500</f>
        <v>3500</v>
      </c>
      <c r="N478" s="21">
        <v>3339</v>
      </c>
      <c r="O478" s="218">
        <f t="shared" si="40"/>
        <v>95.399999999999991</v>
      </c>
      <c r="P478" s="433"/>
      <c r="Q478" s="286">
        <f t="shared" si="45"/>
        <v>3500</v>
      </c>
      <c r="R478" s="20">
        <f t="shared" si="46"/>
        <v>3339</v>
      </c>
      <c r="S478" s="219">
        <f t="shared" si="43"/>
        <v>95.399999999999991</v>
      </c>
      <c r="AQ478"/>
    </row>
    <row r="479" spans="2:43" x14ac:dyDescent="0.2">
      <c r="B479" s="190">
        <f t="shared" si="44"/>
        <v>58</v>
      </c>
      <c r="C479" s="4"/>
      <c r="D479" s="4"/>
      <c r="E479" s="4"/>
      <c r="F479" s="26"/>
      <c r="G479" s="4"/>
      <c r="H479" s="44" t="s">
        <v>648</v>
      </c>
      <c r="I479" s="21"/>
      <c r="J479" s="21"/>
      <c r="K479" s="464"/>
      <c r="L479" s="467"/>
      <c r="M479" s="298">
        <v>2000</v>
      </c>
      <c r="N479" s="21">
        <v>1880</v>
      </c>
      <c r="O479" s="218">
        <f t="shared" si="40"/>
        <v>94</v>
      </c>
      <c r="P479" s="433"/>
      <c r="Q479" s="286">
        <f t="shared" si="45"/>
        <v>2000</v>
      </c>
      <c r="R479" s="20">
        <f t="shared" si="46"/>
        <v>1880</v>
      </c>
      <c r="S479" s="219">
        <f t="shared" si="43"/>
        <v>94</v>
      </c>
      <c r="AQ479"/>
    </row>
    <row r="480" spans="2:43" x14ac:dyDescent="0.2">
      <c r="B480" s="190">
        <f t="shared" si="44"/>
        <v>59</v>
      </c>
      <c r="C480" s="3"/>
      <c r="D480" s="3"/>
      <c r="E480" s="3"/>
      <c r="F480" s="25" t="s">
        <v>235</v>
      </c>
      <c r="G480" s="3">
        <v>717</v>
      </c>
      <c r="H480" s="50" t="s">
        <v>198</v>
      </c>
      <c r="I480" s="19"/>
      <c r="J480" s="19"/>
      <c r="K480" s="464"/>
      <c r="L480" s="466"/>
      <c r="M480" s="300">
        <f>SUM(M481:M545)</f>
        <v>6608907</v>
      </c>
      <c r="N480" s="19">
        <f>SUM(N481:N545)</f>
        <v>4082458</v>
      </c>
      <c r="O480" s="218">
        <f t="shared" si="40"/>
        <v>61.772060039579927</v>
      </c>
      <c r="P480" s="433"/>
      <c r="Q480" s="285">
        <f t="shared" si="45"/>
        <v>6608907</v>
      </c>
      <c r="R480" s="18">
        <f t="shared" si="46"/>
        <v>4082458</v>
      </c>
      <c r="S480" s="219">
        <f t="shared" si="43"/>
        <v>61.772060039579927</v>
      </c>
      <c r="AQ480"/>
    </row>
    <row r="481" spans="2:43" x14ac:dyDescent="0.2">
      <c r="B481" s="190">
        <f t="shared" si="44"/>
        <v>60</v>
      </c>
      <c r="C481" s="3"/>
      <c r="D481" s="3"/>
      <c r="E481" s="3"/>
      <c r="F481" s="25"/>
      <c r="G481" s="3"/>
      <c r="H481" s="44" t="s">
        <v>508</v>
      </c>
      <c r="I481" s="148"/>
      <c r="J481" s="148"/>
      <c r="K481" s="464"/>
      <c r="L481" s="468"/>
      <c r="M481" s="298">
        <f>41000-1000</f>
        <v>40000</v>
      </c>
      <c r="N481" s="21">
        <f>1954+33212+3907</f>
        <v>39073</v>
      </c>
      <c r="O481" s="218">
        <f t="shared" si="40"/>
        <v>97.682500000000005</v>
      </c>
      <c r="P481" s="433"/>
      <c r="Q481" s="286">
        <f t="shared" si="45"/>
        <v>40000</v>
      </c>
      <c r="R481" s="20">
        <f t="shared" si="46"/>
        <v>39073</v>
      </c>
      <c r="S481" s="219">
        <f t="shared" si="43"/>
        <v>97.682500000000005</v>
      </c>
      <c r="AQ481"/>
    </row>
    <row r="482" spans="2:43" x14ac:dyDescent="0.2">
      <c r="B482" s="190">
        <f t="shared" si="44"/>
        <v>61</v>
      </c>
      <c r="C482" s="3"/>
      <c r="D482" s="3"/>
      <c r="E482" s="3"/>
      <c r="F482" s="25"/>
      <c r="G482" s="3"/>
      <c r="H482" s="44" t="s">
        <v>636</v>
      </c>
      <c r="I482" s="148"/>
      <c r="J482" s="148"/>
      <c r="K482" s="464"/>
      <c r="L482" s="468"/>
      <c r="M482" s="298">
        <v>121763</v>
      </c>
      <c r="N482" s="21"/>
      <c r="O482" s="218">
        <f t="shared" si="40"/>
        <v>0</v>
      </c>
      <c r="P482" s="433"/>
      <c r="Q482" s="286">
        <f t="shared" si="45"/>
        <v>121763</v>
      </c>
      <c r="R482" s="20">
        <f t="shared" si="46"/>
        <v>0</v>
      </c>
      <c r="S482" s="219">
        <f t="shared" si="43"/>
        <v>0</v>
      </c>
      <c r="AQ482"/>
    </row>
    <row r="483" spans="2:43" x14ac:dyDescent="0.2">
      <c r="B483" s="78">
        <f t="shared" si="44"/>
        <v>62</v>
      </c>
      <c r="C483" s="3"/>
      <c r="D483" s="3"/>
      <c r="E483" s="3"/>
      <c r="F483" s="25"/>
      <c r="G483" s="3"/>
      <c r="H483" s="44" t="s">
        <v>387</v>
      </c>
      <c r="I483" s="148"/>
      <c r="J483" s="148"/>
      <c r="K483" s="464"/>
      <c r="L483" s="468"/>
      <c r="M483" s="298">
        <f>50000+45000+22000</f>
        <v>117000</v>
      </c>
      <c r="N483" s="21">
        <v>114742</v>
      </c>
      <c r="O483" s="218">
        <f t="shared" si="40"/>
        <v>98.070085470085473</v>
      </c>
      <c r="P483" s="433"/>
      <c r="Q483" s="286">
        <f t="shared" si="45"/>
        <v>117000</v>
      </c>
      <c r="R483" s="20">
        <f t="shared" si="46"/>
        <v>114742</v>
      </c>
      <c r="S483" s="219">
        <f t="shared" si="43"/>
        <v>98.070085470085473</v>
      </c>
      <c r="AQ483"/>
    </row>
    <row r="484" spans="2:43" x14ac:dyDescent="0.2">
      <c r="B484" s="78">
        <f t="shared" si="44"/>
        <v>63</v>
      </c>
      <c r="C484" s="4"/>
      <c r="D484" s="4"/>
      <c r="E484" s="4"/>
      <c r="F484" s="26"/>
      <c r="G484" s="4"/>
      <c r="H484" s="44" t="s">
        <v>463</v>
      </c>
      <c r="I484" s="21"/>
      <c r="J484" s="21"/>
      <c r="K484" s="464"/>
      <c r="L484" s="467"/>
      <c r="M484" s="298">
        <f>100316-30000</f>
        <v>70316</v>
      </c>
      <c r="N484" s="21"/>
      <c r="O484" s="218">
        <f t="shared" si="40"/>
        <v>0</v>
      </c>
      <c r="P484" s="433"/>
      <c r="Q484" s="286">
        <f t="shared" si="45"/>
        <v>70316</v>
      </c>
      <c r="R484" s="20">
        <f t="shared" si="46"/>
        <v>0</v>
      </c>
      <c r="S484" s="219">
        <f t="shared" si="43"/>
        <v>0</v>
      </c>
      <c r="AQ484"/>
    </row>
    <row r="485" spans="2:43" x14ac:dyDescent="0.2">
      <c r="B485" s="78">
        <f t="shared" si="44"/>
        <v>64</v>
      </c>
      <c r="C485" s="4"/>
      <c r="D485" s="4"/>
      <c r="E485" s="4"/>
      <c r="F485" s="26"/>
      <c r="G485" s="4"/>
      <c r="H485" s="44" t="s">
        <v>637</v>
      </c>
      <c r="I485" s="21"/>
      <c r="J485" s="21"/>
      <c r="K485" s="464"/>
      <c r="L485" s="467"/>
      <c r="M485" s="298">
        <v>179892</v>
      </c>
      <c r="N485" s="21"/>
      <c r="O485" s="218">
        <f t="shared" si="40"/>
        <v>0</v>
      </c>
      <c r="P485" s="433"/>
      <c r="Q485" s="286">
        <f t="shared" si="45"/>
        <v>179892</v>
      </c>
      <c r="R485" s="20">
        <f t="shared" si="46"/>
        <v>0</v>
      </c>
      <c r="S485" s="219">
        <f t="shared" si="43"/>
        <v>0</v>
      </c>
      <c r="AQ485"/>
    </row>
    <row r="486" spans="2:43" x14ac:dyDescent="0.2">
      <c r="B486" s="78">
        <f t="shared" si="44"/>
        <v>65</v>
      </c>
      <c r="C486" s="4"/>
      <c r="D486" s="4"/>
      <c r="E486" s="4"/>
      <c r="F486" s="26"/>
      <c r="G486" s="4"/>
      <c r="H486" s="44" t="s">
        <v>39</v>
      </c>
      <c r="I486" s="21"/>
      <c r="J486" s="21"/>
      <c r="K486" s="464"/>
      <c r="L486" s="467"/>
      <c r="M486" s="298">
        <v>16900</v>
      </c>
      <c r="N486" s="21"/>
      <c r="O486" s="218">
        <f t="shared" ref="O486:O545" si="47">N486/M486*100</f>
        <v>0</v>
      </c>
      <c r="P486" s="433"/>
      <c r="Q486" s="286">
        <f t="shared" si="45"/>
        <v>16900</v>
      </c>
      <c r="R486" s="20">
        <f t="shared" si="46"/>
        <v>0</v>
      </c>
      <c r="S486" s="219">
        <f t="shared" ref="S486:S545" si="48">R486/Q486*100</f>
        <v>0</v>
      </c>
      <c r="AQ486"/>
    </row>
    <row r="487" spans="2:43" x14ac:dyDescent="0.2">
      <c r="B487" s="78">
        <f t="shared" si="44"/>
        <v>66</v>
      </c>
      <c r="C487" s="4"/>
      <c r="D487" s="4"/>
      <c r="E487" s="4"/>
      <c r="F487" s="26"/>
      <c r="G487" s="4"/>
      <c r="H487" s="44" t="s">
        <v>38</v>
      </c>
      <c r="I487" s="21"/>
      <c r="J487" s="21"/>
      <c r="K487" s="464"/>
      <c r="L487" s="467"/>
      <c r="M487" s="298">
        <f>13550-900</f>
        <v>12650</v>
      </c>
      <c r="N487" s="21">
        <v>11649</v>
      </c>
      <c r="O487" s="218">
        <f t="shared" si="47"/>
        <v>92.086956521739125</v>
      </c>
      <c r="P487" s="433"/>
      <c r="Q487" s="286">
        <f t="shared" si="45"/>
        <v>12650</v>
      </c>
      <c r="R487" s="20">
        <f t="shared" si="46"/>
        <v>11649</v>
      </c>
      <c r="S487" s="219">
        <f t="shared" si="48"/>
        <v>92.086956521739125</v>
      </c>
      <c r="AQ487"/>
    </row>
    <row r="488" spans="2:43" x14ac:dyDescent="0.2">
      <c r="B488" s="78">
        <f t="shared" ref="B488:B545" si="49">B487+1</f>
        <v>67</v>
      </c>
      <c r="C488" s="4"/>
      <c r="D488" s="4"/>
      <c r="E488" s="4"/>
      <c r="F488" s="26"/>
      <c r="G488" s="4"/>
      <c r="H488" s="44" t="s">
        <v>466</v>
      </c>
      <c r="I488" s="21"/>
      <c r="J488" s="21"/>
      <c r="K488" s="464"/>
      <c r="L488" s="467"/>
      <c r="M488" s="298">
        <f>90000-12000-4100-3000</f>
        <v>70900</v>
      </c>
      <c r="N488" s="21">
        <v>70538</v>
      </c>
      <c r="O488" s="218">
        <f t="shared" si="47"/>
        <v>99.489421720733432</v>
      </c>
      <c r="P488" s="433"/>
      <c r="Q488" s="286">
        <f t="shared" si="45"/>
        <v>70900</v>
      </c>
      <c r="R488" s="20">
        <f t="shared" si="46"/>
        <v>70538</v>
      </c>
      <c r="S488" s="219">
        <f t="shared" si="48"/>
        <v>99.489421720733432</v>
      </c>
      <c r="AQ488"/>
    </row>
    <row r="489" spans="2:43" x14ac:dyDescent="0.2">
      <c r="B489" s="78">
        <f t="shared" si="49"/>
        <v>68</v>
      </c>
      <c r="C489" s="4"/>
      <c r="D489" s="4"/>
      <c r="E489" s="4"/>
      <c r="F489" s="26"/>
      <c r="G489" s="4"/>
      <c r="H489" s="4" t="s">
        <v>478</v>
      </c>
      <c r="I489" s="20"/>
      <c r="J489" s="20"/>
      <c r="K489" s="218"/>
      <c r="L489" s="275"/>
      <c r="M489" s="341">
        <f>60000-4537-22100-6000-3000</f>
        <v>24363</v>
      </c>
      <c r="N489" s="38">
        <v>20832</v>
      </c>
      <c r="O489" s="218">
        <f t="shared" si="47"/>
        <v>85.506710996182733</v>
      </c>
      <c r="P489" s="433"/>
      <c r="Q489" s="286">
        <f t="shared" si="45"/>
        <v>24363</v>
      </c>
      <c r="R489" s="20">
        <f t="shared" si="46"/>
        <v>20832</v>
      </c>
      <c r="S489" s="219">
        <f t="shared" si="48"/>
        <v>85.506710996182733</v>
      </c>
      <c r="AQ489"/>
    </row>
    <row r="490" spans="2:43" x14ac:dyDescent="0.2">
      <c r="B490" s="78">
        <f t="shared" si="49"/>
        <v>69</v>
      </c>
      <c r="C490" s="4"/>
      <c r="D490" s="4"/>
      <c r="E490" s="4"/>
      <c r="F490" s="26"/>
      <c r="G490" s="4"/>
      <c r="H490" s="4" t="s">
        <v>486</v>
      </c>
      <c r="I490" s="20"/>
      <c r="J490" s="20"/>
      <c r="K490" s="218"/>
      <c r="L490" s="275"/>
      <c r="M490" s="341">
        <f>92000-14360</f>
        <v>77640</v>
      </c>
      <c r="N490" s="38"/>
      <c r="O490" s="218">
        <f t="shared" si="47"/>
        <v>0</v>
      </c>
      <c r="P490" s="433"/>
      <c r="Q490" s="286">
        <f t="shared" si="45"/>
        <v>77640</v>
      </c>
      <c r="R490" s="20">
        <f t="shared" si="46"/>
        <v>0</v>
      </c>
      <c r="S490" s="219">
        <f t="shared" si="48"/>
        <v>0</v>
      </c>
      <c r="AQ490"/>
    </row>
    <row r="491" spans="2:43" x14ac:dyDescent="0.2">
      <c r="B491" s="78">
        <f t="shared" si="49"/>
        <v>70</v>
      </c>
      <c r="C491" s="4"/>
      <c r="D491" s="4"/>
      <c r="E491" s="4"/>
      <c r="F491" s="26"/>
      <c r="G491" s="4"/>
      <c r="H491" s="4" t="s">
        <v>520</v>
      </c>
      <c r="I491" s="20"/>
      <c r="J491" s="20"/>
      <c r="K491" s="218"/>
      <c r="L491" s="275"/>
      <c r="M491" s="341">
        <v>13000</v>
      </c>
      <c r="N491" s="38"/>
      <c r="O491" s="218">
        <f t="shared" si="47"/>
        <v>0</v>
      </c>
      <c r="P491" s="433"/>
      <c r="Q491" s="286">
        <f t="shared" si="45"/>
        <v>13000</v>
      </c>
      <c r="R491" s="20">
        <f t="shared" si="46"/>
        <v>0</v>
      </c>
      <c r="S491" s="219">
        <f t="shared" si="48"/>
        <v>0</v>
      </c>
      <c r="AQ491"/>
    </row>
    <row r="492" spans="2:43" x14ac:dyDescent="0.2">
      <c r="B492" s="78">
        <f t="shared" si="49"/>
        <v>71</v>
      </c>
      <c r="C492" s="4"/>
      <c r="D492" s="4"/>
      <c r="E492" s="4"/>
      <c r="F492" s="26"/>
      <c r="G492" s="4"/>
      <c r="H492" s="4" t="s">
        <v>467</v>
      </c>
      <c r="I492" s="20"/>
      <c r="J492" s="20"/>
      <c r="K492" s="218"/>
      <c r="L492" s="275"/>
      <c r="M492" s="341">
        <v>90000</v>
      </c>
      <c r="N492" s="38">
        <v>3795</v>
      </c>
      <c r="O492" s="218">
        <f t="shared" si="47"/>
        <v>4.2166666666666668</v>
      </c>
      <c r="P492" s="433"/>
      <c r="Q492" s="286">
        <f t="shared" si="45"/>
        <v>90000</v>
      </c>
      <c r="R492" s="20">
        <f t="shared" si="46"/>
        <v>3795</v>
      </c>
      <c r="S492" s="219">
        <f t="shared" si="48"/>
        <v>4.2166666666666668</v>
      </c>
      <c r="AQ492"/>
    </row>
    <row r="493" spans="2:43" x14ac:dyDescent="0.2">
      <c r="B493" s="78">
        <f t="shared" si="49"/>
        <v>72</v>
      </c>
      <c r="C493" s="4"/>
      <c r="D493" s="4"/>
      <c r="E493" s="4"/>
      <c r="F493" s="26"/>
      <c r="G493" s="4"/>
      <c r="H493" s="4" t="s">
        <v>439</v>
      </c>
      <c r="I493" s="20"/>
      <c r="J493" s="20"/>
      <c r="K493" s="218"/>
      <c r="L493" s="275"/>
      <c r="M493" s="341">
        <v>70000</v>
      </c>
      <c r="N493" s="38">
        <v>26465</v>
      </c>
      <c r="O493" s="218">
        <f t="shared" si="47"/>
        <v>37.807142857142857</v>
      </c>
      <c r="P493" s="433"/>
      <c r="Q493" s="286">
        <f t="shared" ref="Q493:Q524" si="50">I493+M493</f>
        <v>70000</v>
      </c>
      <c r="R493" s="20">
        <f t="shared" ref="R493:R524" si="51">J493+N493</f>
        <v>26465</v>
      </c>
      <c r="S493" s="219">
        <f t="shared" si="48"/>
        <v>37.807142857142857</v>
      </c>
      <c r="AQ493"/>
    </row>
    <row r="494" spans="2:43" x14ac:dyDescent="0.2">
      <c r="B494" s="78">
        <f t="shared" si="49"/>
        <v>73</v>
      </c>
      <c r="C494" s="4"/>
      <c r="D494" s="4"/>
      <c r="E494" s="4"/>
      <c r="F494" s="26"/>
      <c r="G494" s="4"/>
      <c r="H494" s="4" t="s">
        <v>438</v>
      </c>
      <c r="I494" s="20"/>
      <c r="J494" s="20"/>
      <c r="K494" s="218"/>
      <c r="L494" s="275"/>
      <c r="M494" s="341">
        <f>120000-2000+47000+25000</f>
        <v>190000</v>
      </c>
      <c r="N494" s="38">
        <v>183115</v>
      </c>
      <c r="O494" s="218">
        <f t="shared" si="47"/>
        <v>96.376315789473693</v>
      </c>
      <c r="P494" s="433"/>
      <c r="Q494" s="286">
        <f t="shared" si="50"/>
        <v>190000</v>
      </c>
      <c r="R494" s="20">
        <f t="shared" si="51"/>
        <v>183115</v>
      </c>
      <c r="S494" s="219">
        <f t="shared" si="48"/>
        <v>96.376315789473693</v>
      </c>
      <c r="AQ494"/>
    </row>
    <row r="495" spans="2:43" x14ac:dyDescent="0.2">
      <c r="B495" s="78">
        <f t="shared" si="49"/>
        <v>74</v>
      </c>
      <c r="C495" s="4"/>
      <c r="D495" s="4"/>
      <c r="E495" s="4"/>
      <c r="F495" s="26"/>
      <c r="G495" s="4"/>
      <c r="H495" s="4" t="s">
        <v>550</v>
      </c>
      <c r="I495" s="20"/>
      <c r="J495" s="20"/>
      <c r="K495" s="218"/>
      <c r="L495" s="275"/>
      <c r="M495" s="341">
        <v>12100</v>
      </c>
      <c r="N495" s="38">
        <v>11416</v>
      </c>
      <c r="O495" s="218">
        <f t="shared" si="47"/>
        <v>94.347107438016536</v>
      </c>
      <c r="P495" s="433"/>
      <c r="Q495" s="286">
        <f t="shared" si="50"/>
        <v>12100</v>
      </c>
      <c r="R495" s="20">
        <f t="shared" si="51"/>
        <v>11416</v>
      </c>
      <c r="S495" s="219">
        <f t="shared" si="48"/>
        <v>94.347107438016536</v>
      </c>
      <c r="AQ495"/>
    </row>
    <row r="496" spans="2:43" x14ac:dyDescent="0.2">
      <c r="B496" s="78">
        <f t="shared" si="49"/>
        <v>75</v>
      </c>
      <c r="C496" s="4"/>
      <c r="D496" s="4"/>
      <c r="E496" s="4"/>
      <c r="F496" s="26"/>
      <c r="G496" s="4"/>
      <c r="H496" s="4" t="s">
        <v>476</v>
      </c>
      <c r="I496" s="20"/>
      <c r="J496" s="20"/>
      <c r="K496" s="218"/>
      <c r="L496" s="275"/>
      <c r="M496" s="341">
        <f>1300+45000+388</f>
        <v>46688</v>
      </c>
      <c r="N496" s="38">
        <v>1411</v>
      </c>
      <c r="O496" s="218">
        <f t="shared" si="47"/>
        <v>3.0221898560657987</v>
      </c>
      <c r="P496" s="433"/>
      <c r="Q496" s="286">
        <f t="shared" si="50"/>
        <v>46688</v>
      </c>
      <c r="R496" s="20">
        <f t="shared" si="51"/>
        <v>1411</v>
      </c>
      <c r="S496" s="219">
        <f t="shared" si="48"/>
        <v>3.0221898560657987</v>
      </c>
      <c r="AQ496"/>
    </row>
    <row r="497" spans="2:43" x14ac:dyDescent="0.2">
      <c r="B497" s="78">
        <f t="shared" si="49"/>
        <v>76</v>
      </c>
      <c r="C497" s="3"/>
      <c r="D497" s="3"/>
      <c r="E497" s="3"/>
      <c r="F497" s="25"/>
      <c r="G497" s="3"/>
      <c r="H497" s="4" t="s">
        <v>456</v>
      </c>
      <c r="I497" s="132"/>
      <c r="J497" s="132"/>
      <c r="K497" s="218"/>
      <c r="L497" s="57"/>
      <c r="M497" s="286">
        <v>300000</v>
      </c>
      <c r="N497" s="20">
        <v>93704</v>
      </c>
      <c r="O497" s="218">
        <f t="shared" si="47"/>
        <v>31.234666666666666</v>
      </c>
      <c r="P497" s="433"/>
      <c r="Q497" s="286">
        <f t="shared" si="50"/>
        <v>300000</v>
      </c>
      <c r="R497" s="20">
        <f t="shared" si="51"/>
        <v>93704</v>
      </c>
      <c r="S497" s="219">
        <f t="shared" si="48"/>
        <v>31.234666666666666</v>
      </c>
      <c r="AQ497"/>
    </row>
    <row r="498" spans="2:43" x14ac:dyDescent="0.2">
      <c r="B498" s="78">
        <f t="shared" si="49"/>
        <v>77</v>
      </c>
      <c r="C498" s="3"/>
      <c r="D498" s="3"/>
      <c r="E498" s="3"/>
      <c r="F498" s="25"/>
      <c r="G498" s="3"/>
      <c r="H498" s="4" t="s">
        <v>446</v>
      </c>
      <c r="I498" s="132"/>
      <c r="J498" s="132"/>
      <c r="K498" s="218"/>
      <c r="L498" s="57"/>
      <c r="M498" s="286">
        <f>25000-800</f>
        <v>24200</v>
      </c>
      <c r="N498" s="20">
        <v>16300</v>
      </c>
      <c r="O498" s="218">
        <f t="shared" si="47"/>
        <v>67.355371900826441</v>
      </c>
      <c r="P498" s="433"/>
      <c r="Q498" s="286">
        <f t="shared" si="50"/>
        <v>24200</v>
      </c>
      <c r="R498" s="20">
        <f t="shared" si="51"/>
        <v>16300</v>
      </c>
      <c r="S498" s="219">
        <f t="shared" si="48"/>
        <v>67.355371900826441</v>
      </c>
      <c r="AQ498"/>
    </row>
    <row r="499" spans="2:43" x14ac:dyDescent="0.2">
      <c r="B499" s="78">
        <f t="shared" si="49"/>
        <v>78</v>
      </c>
      <c r="C499" s="4"/>
      <c r="D499" s="4"/>
      <c r="E499" s="4"/>
      <c r="F499" s="26"/>
      <c r="G499" s="4"/>
      <c r="H499" s="4" t="s">
        <v>37</v>
      </c>
      <c r="I499" s="20"/>
      <c r="J499" s="20"/>
      <c r="K499" s="218"/>
      <c r="L499" s="275"/>
      <c r="M499" s="341">
        <f>19000-9000-9200</f>
        <v>800</v>
      </c>
      <c r="N499" s="38">
        <v>730</v>
      </c>
      <c r="O499" s="218">
        <f t="shared" si="47"/>
        <v>91.25</v>
      </c>
      <c r="P499" s="433"/>
      <c r="Q499" s="286">
        <f t="shared" si="50"/>
        <v>800</v>
      </c>
      <c r="R499" s="20">
        <f t="shared" si="51"/>
        <v>730</v>
      </c>
      <c r="S499" s="219">
        <f t="shared" si="48"/>
        <v>91.25</v>
      </c>
      <c r="AQ499"/>
    </row>
    <row r="500" spans="2:43" x14ac:dyDescent="0.2">
      <c r="B500" s="78">
        <f t="shared" si="49"/>
        <v>79</v>
      </c>
      <c r="C500" s="3"/>
      <c r="D500" s="3"/>
      <c r="E500" s="3"/>
      <c r="F500" s="25"/>
      <c r="G500" s="3"/>
      <c r="H500" s="44" t="s">
        <v>443</v>
      </c>
      <c r="I500" s="148"/>
      <c r="J500" s="148"/>
      <c r="K500" s="218"/>
      <c r="L500" s="57"/>
      <c r="M500" s="298">
        <v>50000</v>
      </c>
      <c r="N500" s="21">
        <v>1000</v>
      </c>
      <c r="O500" s="218">
        <f t="shared" si="47"/>
        <v>2</v>
      </c>
      <c r="P500" s="433"/>
      <c r="Q500" s="286">
        <f t="shared" si="50"/>
        <v>50000</v>
      </c>
      <c r="R500" s="20">
        <f t="shared" si="51"/>
        <v>1000</v>
      </c>
      <c r="S500" s="219">
        <f t="shared" si="48"/>
        <v>2</v>
      </c>
      <c r="AQ500"/>
    </row>
    <row r="501" spans="2:43" x14ac:dyDescent="0.2">
      <c r="B501" s="78">
        <f t="shared" si="49"/>
        <v>80</v>
      </c>
      <c r="C501" s="3"/>
      <c r="D501" s="3"/>
      <c r="E501" s="3"/>
      <c r="F501" s="25"/>
      <c r="G501" s="3"/>
      <c r="H501" s="44" t="s">
        <v>624</v>
      </c>
      <c r="I501" s="148"/>
      <c r="J501" s="148"/>
      <c r="K501" s="178"/>
      <c r="L501" s="57"/>
      <c r="M501" s="298">
        <f>13000+3600</f>
        <v>16600</v>
      </c>
      <c r="N501" s="21">
        <f>97+10000</f>
        <v>10097</v>
      </c>
      <c r="O501" s="218">
        <f t="shared" si="47"/>
        <v>60.825301204819283</v>
      </c>
      <c r="P501" s="433"/>
      <c r="Q501" s="286">
        <f t="shared" si="50"/>
        <v>16600</v>
      </c>
      <c r="R501" s="20">
        <f t="shared" si="51"/>
        <v>10097</v>
      </c>
      <c r="S501" s="219">
        <f t="shared" si="48"/>
        <v>60.825301204819283</v>
      </c>
      <c r="AQ501"/>
    </row>
    <row r="502" spans="2:43" x14ac:dyDescent="0.2">
      <c r="B502" s="78">
        <f t="shared" si="49"/>
        <v>81</v>
      </c>
      <c r="C502" s="3"/>
      <c r="D502" s="3"/>
      <c r="E502" s="3"/>
      <c r="F502" s="25"/>
      <c r="G502" s="3"/>
      <c r="H502" s="44" t="s">
        <v>510</v>
      </c>
      <c r="I502" s="148"/>
      <c r="J502" s="148"/>
      <c r="K502" s="178"/>
      <c r="L502" s="57"/>
      <c r="M502" s="298">
        <v>71000</v>
      </c>
      <c r="N502" s="21"/>
      <c r="O502" s="218">
        <f t="shared" si="47"/>
        <v>0</v>
      </c>
      <c r="P502" s="433"/>
      <c r="Q502" s="286">
        <f t="shared" si="50"/>
        <v>71000</v>
      </c>
      <c r="R502" s="20">
        <f t="shared" si="51"/>
        <v>0</v>
      </c>
      <c r="S502" s="219">
        <f t="shared" si="48"/>
        <v>0</v>
      </c>
      <c r="AQ502"/>
    </row>
    <row r="503" spans="2:43" x14ac:dyDescent="0.2">
      <c r="B503" s="78">
        <f t="shared" si="49"/>
        <v>82</v>
      </c>
      <c r="C503" s="4"/>
      <c r="D503" s="4"/>
      <c r="E503" s="4"/>
      <c r="F503" s="26"/>
      <c r="G503" s="4"/>
      <c r="H503" s="4" t="s">
        <v>488</v>
      </c>
      <c r="I503" s="20"/>
      <c r="J503" s="20"/>
      <c r="K503" s="82"/>
      <c r="L503" s="275"/>
      <c r="M503" s="286">
        <v>35000</v>
      </c>
      <c r="N503" s="20">
        <v>34985</v>
      </c>
      <c r="O503" s="218">
        <f t="shared" si="47"/>
        <v>99.957142857142856</v>
      </c>
      <c r="P503" s="433"/>
      <c r="Q503" s="286">
        <f t="shared" si="50"/>
        <v>35000</v>
      </c>
      <c r="R503" s="20">
        <f t="shared" si="51"/>
        <v>34985</v>
      </c>
      <c r="S503" s="219">
        <f t="shared" si="48"/>
        <v>99.957142857142856</v>
      </c>
      <c r="AQ503"/>
    </row>
    <row r="504" spans="2:43" x14ac:dyDescent="0.2">
      <c r="B504" s="78">
        <f t="shared" si="49"/>
        <v>83</v>
      </c>
      <c r="C504" s="3"/>
      <c r="D504" s="3"/>
      <c r="E504" s="3"/>
      <c r="F504" s="25"/>
      <c r="G504" s="3"/>
      <c r="H504" s="44" t="s">
        <v>296</v>
      </c>
      <c r="I504" s="148"/>
      <c r="J504" s="148"/>
      <c r="K504" s="178"/>
      <c r="L504" s="57"/>
      <c r="M504" s="298">
        <f>41000+1050-5000-2000</f>
        <v>35050</v>
      </c>
      <c r="N504" s="21">
        <f>787+28599</f>
        <v>29386</v>
      </c>
      <c r="O504" s="218">
        <f t="shared" si="47"/>
        <v>83.840228245363761</v>
      </c>
      <c r="P504" s="433"/>
      <c r="Q504" s="286">
        <f t="shared" si="50"/>
        <v>35050</v>
      </c>
      <c r="R504" s="20">
        <f t="shared" si="51"/>
        <v>29386</v>
      </c>
      <c r="S504" s="219">
        <f t="shared" si="48"/>
        <v>83.840228245363761</v>
      </c>
      <c r="AQ504"/>
    </row>
    <row r="505" spans="2:43" x14ac:dyDescent="0.2">
      <c r="B505" s="78">
        <f t="shared" si="49"/>
        <v>84</v>
      </c>
      <c r="C505" s="4"/>
      <c r="D505" s="4"/>
      <c r="E505" s="4"/>
      <c r="F505" s="26"/>
      <c r="G505" s="4"/>
      <c r="H505" s="44" t="s">
        <v>41</v>
      </c>
      <c r="I505" s="21"/>
      <c r="J505" s="21"/>
      <c r="K505" s="104"/>
      <c r="L505" s="275"/>
      <c r="M505" s="298">
        <v>140000</v>
      </c>
      <c r="N505" s="21">
        <v>2626</v>
      </c>
      <c r="O505" s="218">
        <f t="shared" si="47"/>
        <v>1.8757142857142857</v>
      </c>
      <c r="P505" s="433"/>
      <c r="Q505" s="286">
        <f t="shared" si="50"/>
        <v>140000</v>
      </c>
      <c r="R505" s="20">
        <f t="shared" si="51"/>
        <v>2626</v>
      </c>
      <c r="S505" s="219">
        <f t="shared" si="48"/>
        <v>1.8757142857142857</v>
      </c>
      <c r="AQ505"/>
    </row>
    <row r="506" spans="2:43" x14ac:dyDescent="0.2">
      <c r="B506" s="78">
        <f t="shared" si="49"/>
        <v>85</v>
      </c>
      <c r="C506" s="4"/>
      <c r="D506" s="4"/>
      <c r="E506" s="4"/>
      <c r="F506" s="26"/>
      <c r="G506" s="4"/>
      <c r="H506" s="44" t="s">
        <v>381</v>
      </c>
      <c r="I506" s="21"/>
      <c r="J506" s="21"/>
      <c r="K506" s="104"/>
      <c r="L506" s="275"/>
      <c r="M506" s="298">
        <f>621000-22100-20300-35000</f>
        <v>543600</v>
      </c>
      <c r="N506" s="21">
        <v>522037</v>
      </c>
      <c r="O506" s="218">
        <f t="shared" si="47"/>
        <v>96.033296541574686</v>
      </c>
      <c r="P506" s="433"/>
      <c r="Q506" s="286">
        <f t="shared" si="50"/>
        <v>543600</v>
      </c>
      <c r="R506" s="20">
        <f t="shared" si="51"/>
        <v>522037</v>
      </c>
      <c r="S506" s="219">
        <f t="shared" si="48"/>
        <v>96.033296541574686</v>
      </c>
      <c r="AQ506"/>
    </row>
    <row r="507" spans="2:43" x14ac:dyDescent="0.2">
      <c r="B507" s="78">
        <f t="shared" si="49"/>
        <v>86</v>
      </c>
      <c r="C507" s="4"/>
      <c r="D507" s="4"/>
      <c r="E507" s="4"/>
      <c r="F507" s="26"/>
      <c r="G507" s="4"/>
      <c r="H507" s="44" t="s">
        <v>47</v>
      </c>
      <c r="I507" s="21"/>
      <c r="J507" s="21"/>
      <c r="K507" s="104"/>
      <c r="L507" s="275"/>
      <c r="M507" s="298">
        <f>40000-20000-2900</f>
        <v>17100</v>
      </c>
      <c r="N507" s="21">
        <v>16073</v>
      </c>
      <c r="O507" s="218">
        <f t="shared" si="47"/>
        <v>93.994152046783626</v>
      </c>
      <c r="P507" s="433"/>
      <c r="Q507" s="286">
        <f t="shared" si="50"/>
        <v>17100</v>
      </c>
      <c r="R507" s="20">
        <f t="shared" si="51"/>
        <v>16073</v>
      </c>
      <c r="S507" s="219">
        <f t="shared" si="48"/>
        <v>93.994152046783626</v>
      </c>
      <c r="AQ507"/>
    </row>
    <row r="508" spans="2:43" ht="33.75" x14ac:dyDescent="0.2">
      <c r="B508" s="190">
        <f t="shared" si="49"/>
        <v>87</v>
      </c>
      <c r="C508" s="134"/>
      <c r="D508" s="134"/>
      <c r="E508" s="134"/>
      <c r="F508" s="135"/>
      <c r="G508" s="134"/>
      <c r="H508" s="191" t="s">
        <v>600</v>
      </c>
      <c r="I508" s="154"/>
      <c r="J508" s="154"/>
      <c r="K508" s="204"/>
      <c r="L508" s="339"/>
      <c r="M508" s="340">
        <v>19800</v>
      </c>
      <c r="N508" s="154">
        <v>19790</v>
      </c>
      <c r="O508" s="218">
        <f t="shared" si="47"/>
        <v>99.949494949494948</v>
      </c>
      <c r="P508" s="433"/>
      <c r="Q508" s="301">
        <f t="shared" si="50"/>
        <v>19800</v>
      </c>
      <c r="R508" s="136">
        <f t="shared" si="51"/>
        <v>19790</v>
      </c>
      <c r="S508" s="219">
        <f t="shared" si="48"/>
        <v>99.949494949494948</v>
      </c>
      <c r="AQ508"/>
    </row>
    <row r="509" spans="2:43" x14ac:dyDescent="0.2">
      <c r="B509" s="78">
        <f t="shared" si="49"/>
        <v>88</v>
      </c>
      <c r="C509" s="4"/>
      <c r="D509" s="4"/>
      <c r="E509" s="4"/>
      <c r="F509" s="26"/>
      <c r="G509" s="4"/>
      <c r="H509" s="44" t="s">
        <v>298</v>
      </c>
      <c r="I509" s="21"/>
      <c r="J509" s="21"/>
      <c r="K509" s="104"/>
      <c r="L509" s="275"/>
      <c r="M509" s="298">
        <v>50000</v>
      </c>
      <c r="N509" s="21"/>
      <c r="O509" s="218">
        <f t="shared" si="47"/>
        <v>0</v>
      </c>
      <c r="P509" s="433"/>
      <c r="Q509" s="286">
        <f t="shared" si="50"/>
        <v>50000</v>
      </c>
      <c r="R509" s="20">
        <f t="shared" si="51"/>
        <v>0</v>
      </c>
      <c r="S509" s="219">
        <f t="shared" si="48"/>
        <v>0</v>
      </c>
      <c r="AQ509"/>
    </row>
    <row r="510" spans="2:43" x14ac:dyDescent="0.2">
      <c r="B510" s="78">
        <f t="shared" si="49"/>
        <v>89</v>
      </c>
      <c r="C510" s="4"/>
      <c r="D510" s="4"/>
      <c r="E510" s="4"/>
      <c r="F510" s="26"/>
      <c r="G510" s="4"/>
      <c r="H510" s="44" t="s">
        <v>509</v>
      </c>
      <c r="I510" s="21"/>
      <c r="J510" s="21"/>
      <c r="K510" s="104"/>
      <c r="L510" s="275"/>
      <c r="M510" s="298">
        <v>11500</v>
      </c>
      <c r="N510" s="21">
        <v>11199</v>
      </c>
      <c r="O510" s="218">
        <f t="shared" si="47"/>
        <v>97.382608695652166</v>
      </c>
      <c r="P510" s="433"/>
      <c r="Q510" s="286">
        <f t="shared" si="50"/>
        <v>11500</v>
      </c>
      <c r="R510" s="20">
        <f t="shared" si="51"/>
        <v>11199</v>
      </c>
      <c r="S510" s="219">
        <f t="shared" si="48"/>
        <v>97.382608695652166</v>
      </c>
      <c r="AQ510"/>
    </row>
    <row r="511" spans="2:43" x14ac:dyDescent="0.2">
      <c r="B511" s="78">
        <f t="shared" si="49"/>
        <v>90</v>
      </c>
      <c r="C511" s="4"/>
      <c r="D511" s="4"/>
      <c r="E511" s="4"/>
      <c r="F511" s="26"/>
      <c r="G511" s="4"/>
      <c r="H511" s="44" t="s">
        <v>464</v>
      </c>
      <c r="I511" s="21"/>
      <c r="J511" s="21"/>
      <c r="K511" s="104"/>
      <c r="L511" s="275"/>
      <c r="M511" s="298">
        <f>90000-2500</f>
        <v>87500</v>
      </c>
      <c r="N511" s="21"/>
      <c r="O511" s="218">
        <f t="shared" si="47"/>
        <v>0</v>
      </c>
      <c r="P511" s="433"/>
      <c r="Q511" s="286">
        <f t="shared" si="50"/>
        <v>87500</v>
      </c>
      <c r="R511" s="20">
        <f t="shared" si="51"/>
        <v>0</v>
      </c>
      <c r="S511" s="219">
        <f t="shared" si="48"/>
        <v>0</v>
      </c>
      <c r="AQ511"/>
    </row>
    <row r="512" spans="2:43" x14ac:dyDescent="0.2">
      <c r="B512" s="78">
        <f t="shared" si="49"/>
        <v>91</v>
      </c>
      <c r="C512" s="4"/>
      <c r="D512" s="4"/>
      <c r="E512" s="4"/>
      <c r="F512" s="26"/>
      <c r="G512" s="4"/>
      <c r="H512" s="44" t="s">
        <v>469</v>
      </c>
      <c r="I512" s="21"/>
      <c r="J512" s="21"/>
      <c r="K512" s="104"/>
      <c r="L512" s="275"/>
      <c r="M512" s="298">
        <f>50000-3000</f>
        <v>47000</v>
      </c>
      <c r="N512" s="21">
        <v>670</v>
      </c>
      <c r="O512" s="218">
        <f t="shared" si="47"/>
        <v>1.425531914893617</v>
      </c>
      <c r="P512" s="433"/>
      <c r="Q512" s="286">
        <f t="shared" si="50"/>
        <v>47000</v>
      </c>
      <c r="R512" s="20">
        <f t="shared" si="51"/>
        <v>670</v>
      </c>
      <c r="S512" s="219">
        <f t="shared" si="48"/>
        <v>1.425531914893617</v>
      </c>
      <c r="AQ512"/>
    </row>
    <row r="513" spans="2:43" x14ac:dyDescent="0.2">
      <c r="B513" s="78">
        <f t="shared" si="49"/>
        <v>92</v>
      </c>
      <c r="C513" s="3"/>
      <c r="D513" s="3"/>
      <c r="E513" s="3"/>
      <c r="F513" s="25"/>
      <c r="G513" s="3"/>
      <c r="H513" s="44" t="s">
        <v>454</v>
      </c>
      <c r="I513" s="148"/>
      <c r="J513" s="148"/>
      <c r="K513" s="178"/>
      <c r="L513" s="57"/>
      <c r="M513" s="298">
        <f>50000-4700</f>
        <v>45300</v>
      </c>
      <c r="N513" s="21"/>
      <c r="O513" s="218">
        <f t="shared" si="47"/>
        <v>0</v>
      </c>
      <c r="P513" s="433"/>
      <c r="Q513" s="286">
        <f t="shared" si="50"/>
        <v>45300</v>
      </c>
      <c r="R513" s="20">
        <f t="shared" si="51"/>
        <v>0</v>
      </c>
      <c r="S513" s="219">
        <f t="shared" si="48"/>
        <v>0</v>
      </c>
      <c r="AQ513"/>
    </row>
    <row r="514" spans="2:43" x14ac:dyDescent="0.2">
      <c r="B514" s="78">
        <f t="shared" si="49"/>
        <v>93</v>
      </c>
      <c r="C514" s="3"/>
      <c r="D514" s="3"/>
      <c r="E514" s="3"/>
      <c r="F514" s="25"/>
      <c r="G514" s="3"/>
      <c r="H514" s="44" t="s">
        <v>587</v>
      </c>
      <c r="I514" s="148"/>
      <c r="J514" s="148"/>
      <c r="K514" s="178"/>
      <c r="L514" s="57"/>
      <c r="M514" s="298">
        <f>93000+32000</f>
        <v>125000</v>
      </c>
      <c r="N514" s="21">
        <v>122175</v>
      </c>
      <c r="O514" s="218">
        <f t="shared" si="47"/>
        <v>97.740000000000009</v>
      </c>
      <c r="P514" s="433"/>
      <c r="Q514" s="286">
        <f t="shared" si="50"/>
        <v>125000</v>
      </c>
      <c r="R514" s="20">
        <f t="shared" si="51"/>
        <v>122175</v>
      </c>
      <c r="S514" s="219">
        <f t="shared" si="48"/>
        <v>97.740000000000009</v>
      </c>
      <c r="AQ514"/>
    </row>
    <row r="515" spans="2:43" x14ac:dyDescent="0.2">
      <c r="B515" s="78">
        <f t="shared" si="49"/>
        <v>94</v>
      </c>
      <c r="C515" s="4"/>
      <c r="D515" s="4"/>
      <c r="E515" s="4"/>
      <c r="F515" s="26"/>
      <c r="G515" s="4"/>
      <c r="H515" s="44" t="s">
        <v>299</v>
      </c>
      <c r="I515" s="21"/>
      <c r="J515" s="21"/>
      <c r="K515" s="104"/>
      <c r="L515" s="275"/>
      <c r="M515" s="298">
        <f>30000+5000+8600</f>
        <v>43600</v>
      </c>
      <c r="N515" s="21">
        <v>42740</v>
      </c>
      <c r="O515" s="218">
        <f t="shared" si="47"/>
        <v>98.027522935779814</v>
      </c>
      <c r="P515" s="433"/>
      <c r="Q515" s="286">
        <f t="shared" si="50"/>
        <v>43600</v>
      </c>
      <c r="R515" s="20">
        <f t="shared" si="51"/>
        <v>42740</v>
      </c>
      <c r="S515" s="219">
        <f t="shared" si="48"/>
        <v>98.027522935779814</v>
      </c>
      <c r="AQ515"/>
    </row>
    <row r="516" spans="2:43" x14ac:dyDescent="0.2">
      <c r="B516" s="78">
        <f t="shared" si="49"/>
        <v>95</v>
      </c>
      <c r="C516" s="4"/>
      <c r="D516" s="4"/>
      <c r="E516" s="4"/>
      <c r="F516" s="26"/>
      <c r="G516" s="4"/>
      <c r="H516" s="44" t="s">
        <v>485</v>
      </c>
      <c r="I516" s="21"/>
      <c r="J516" s="21"/>
      <c r="K516" s="104"/>
      <c r="L516" s="275"/>
      <c r="M516" s="298">
        <f>35000-3000+20100</f>
        <v>52100</v>
      </c>
      <c r="N516" s="21">
        <v>10630</v>
      </c>
      <c r="O516" s="218">
        <f t="shared" si="47"/>
        <v>20.40307101727447</v>
      </c>
      <c r="P516" s="433"/>
      <c r="Q516" s="286">
        <f t="shared" si="50"/>
        <v>52100</v>
      </c>
      <c r="R516" s="20">
        <f t="shared" si="51"/>
        <v>10630</v>
      </c>
      <c r="S516" s="219">
        <f t="shared" si="48"/>
        <v>20.40307101727447</v>
      </c>
      <c r="AQ516"/>
    </row>
    <row r="517" spans="2:43" x14ac:dyDescent="0.2">
      <c r="B517" s="78">
        <f t="shared" si="49"/>
        <v>96</v>
      </c>
      <c r="C517" s="4"/>
      <c r="D517" s="4"/>
      <c r="E517" s="4"/>
      <c r="F517" s="26"/>
      <c r="G517" s="4"/>
      <c r="H517" s="4" t="s">
        <v>494</v>
      </c>
      <c r="I517" s="20"/>
      <c r="J517" s="20"/>
      <c r="K517" s="82"/>
      <c r="L517" s="275"/>
      <c r="M517" s="341">
        <f>15000-1500-2000</f>
        <v>11500</v>
      </c>
      <c r="N517" s="38">
        <v>11203</v>
      </c>
      <c r="O517" s="218">
        <f t="shared" si="47"/>
        <v>97.417391304347817</v>
      </c>
      <c r="P517" s="433"/>
      <c r="Q517" s="286">
        <f t="shared" si="50"/>
        <v>11500</v>
      </c>
      <c r="R517" s="20">
        <f t="shared" si="51"/>
        <v>11203</v>
      </c>
      <c r="S517" s="219">
        <f t="shared" si="48"/>
        <v>97.417391304347817</v>
      </c>
      <c r="AQ517"/>
    </row>
    <row r="518" spans="2:43" x14ac:dyDescent="0.2">
      <c r="B518" s="78">
        <f t="shared" si="49"/>
        <v>97</v>
      </c>
      <c r="C518" s="4"/>
      <c r="D518" s="4"/>
      <c r="E518" s="4"/>
      <c r="F518" s="26"/>
      <c r="G518" s="4"/>
      <c r="H518" s="4" t="s">
        <v>573</v>
      </c>
      <c r="I518" s="20"/>
      <c r="J518" s="20"/>
      <c r="K518" s="82"/>
      <c r="L518" s="275"/>
      <c r="M518" s="341">
        <f>10000+11650</f>
        <v>21650</v>
      </c>
      <c r="N518" s="38">
        <v>21634</v>
      </c>
      <c r="O518" s="218">
        <f t="shared" si="47"/>
        <v>99.926096997690522</v>
      </c>
      <c r="P518" s="433"/>
      <c r="Q518" s="286">
        <f t="shared" si="50"/>
        <v>21650</v>
      </c>
      <c r="R518" s="20">
        <f t="shared" si="51"/>
        <v>21634</v>
      </c>
      <c r="S518" s="219">
        <f t="shared" si="48"/>
        <v>99.926096997690522</v>
      </c>
      <c r="AQ518"/>
    </row>
    <row r="519" spans="2:43" x14ac:dyDescent="0.2">
      <c r="B519" s="78">
        <f t="shared" si="49"/>
        <v>98</v>
      </c>
      <c r="C519" s="4"/>
      <c r="D519" s="4"/>
      <c r="E519" s="4"/>
      <c r="F519" s="26"/>
      <c r="G519" s="4"/>
      <c r="H519" s="4" t="s">
        <v>382</v>
      </c>
      <c r="I519" s="20"/>
      <c r="J519" s="20"/>
      <c r="K519" s="82"/>
      <c r="L519" s="275"/>
      <c r="M519" s="341">
        <v>2000</v>
      </c>
      <c r="N519" s="38">
        <v>1043</v>
      </c>
      <c r="O519" s="218">
        <f t="shared" si="47"/>
        <v>52.15</v>
      </c>
      <c r="P519" s="433"/>
      <c r="Q519" s="286">
        <f t="shared" si="50"/>
        <v>2000</v>
      </c>
      <c r="R519" s="20">
        <f t="shared" si="51"/>
        <v>1043</v>
      </c>
      <c r="S519" s="219">
        <f t="shared" si="48"/>
        <v>52.15</v>
      </c>
      <c r="AQ519"/>
    </row>
    <row r="520" spans="2:43" x14ac:dyDescent="0.2">
      <c r="B520" s="78">
        <f t="shared" si="49"/>
        <v>99</v>
      </c>
      <c r="C520" s="4"/>
      <c r="D520" s="4"/>
      <c r="E520" s="4"/>
      <c r="F520" s="26"/>
      <c r="G520" s="4"/>
      <c r="H520" s="4" t="s">
        <v>468</v>
      </c>
      <c r="I520" s="20"/>
      <c r="J520" s="20"/>
      <c r="K520" s="82"/>
      <c r="L520" s="275"/>
      <c r="M520" s="341">
        <f>80000-37000-1500-17000</f>
        <v>24500</v>
      </c>
      <c r="N520" s="38">
        <f>200+24172</f>
        <v>24372</v>
      </c>
      <c r="O520" s="218">
        <f t="shared" si="47"/>
        <v>99.477551020408157</v>
      </c>
      <c r="P520" s="433"/>
      <c r="Q520" s="286">
        <f t="shared" si="50"/>
        <v>24500</v>
      </c>
      <c r="R520" s="20">
        <f t="shared" si="51"/>
        <v>24372</v>
      </c>
      <c r="S520" s="219">
        <f t="shared" si="48"/>
        <v>99.477551020408157</v>
      </c>
      <c r="AQ520"/>
    </row>
    <row r="521" spans="2:43" x14ac:dyDescent="0.2">
      <c r="B521" s="78">
        <f t="shared" si="49"/>
        <v>100</v>
      </c>
      <c r="C521" s="4"/>
      <c r="D521" s="4"/>
      <c r="E521" s="4"/>
      <c r="F521" s="26"/>
      <c r="G521" s="4"/>
      <c r="H521" s="4" t="s">
        <v>465</v>
      </c>
      <c r="I521" s="20"/>
      <c r="J521" s="20"/>
      <c r="K521" s="82"/>
      <c r="L521" s="275"/>
      <c r="M521" s="341">
        <f>700000-19350-5000-600-6000-36100</f>
        <v>632950</v>
      </c>
      <c r="N521" s="38">
        <f>3315+629158</f>
        <v>632473</v>
      </c>
      <c r="O521" s="218">
        <f t="shared" si="47"/>
        <v>99.924638597045572</v>
      </c>
      <c r="P521" s="433"/>
      <c r="Q521" s="286">
        <f t="shared" si="50"/>
        <v>632950</v>
      </c>
      <c r="R521" s="20">
        <f t="shared" si="51"/>
        <v>632473</v>
      </c>
      <c r="S521" s="219">
        <f t="shared" si="48"/>
        <v>99.924638597045572</v>
      </c>
      <c r="AQ521"/>
    </row>
    <row r="522" spans="2:43" x14ac:dyDescent="0.2">
      <c r="B522" s="78">
        <f t="shared" si="49"/>
        <v>101</v>
      </c>
      <c r="C522" s="4"/>
      <c r="D522" s="4"/>
      <c r="E522" s="4"/>
      <c r="F522" s="26"/>
      <c r="G522" s="4"/>
      <c r="H522" s="4" t="s">
        <v>40</v>
      </c>
      <c r="I522" s="20"/>
      <c r="J522" s="20"/>
      <c r="K522" s="82"/>
      <c r="L522" s="275"/>
      <c r="M522" s="286">
        <f>1645700+20645+50000+12400+9200+14600+1000</f>
        <v>1753545</v>
      </c>
      <c r="N522" s="20">
        <f>4210+19826+1713971</f>
        <v>1738007</v>
      </c>
      <c r="O522" s="218">
        <f t="shared" si="47"/>
        <v>99.113909252400134</v>
      </c>
      <c r="P522" s="433"/>
      <c r="Q522" s="286">
        <f t="shared" si="50"/>
        <v>1753545</v>
      </c>
      <c r="R522" s="20">
        <f t="shared" si="51"/>
        <v>1738007</v>
      </c>
      <c r="S522" s="219">
        <f t="shared" si="48"/>
        <v>99.113909252400134</v>
      </c>
      <c r="AQ522"/>
    </row>
    <row r="523" spans="2:43" x14ac:dyDescent="0.2">
      <c r="B523" s="78">
        <f t="shared" si="49"/>
        <v>102</v>
      </c>
      <c r="C523" s="4"/>
      <c r="D523" s="4"/>
      <c r="E523" s="4"/>
      <c r="F523" s="26"/>
      <c r="G523" s="4"/>
      <c r="H523" s="4" t="s">
        <v>492</v>
      </c>
      <c r="I523" s="20"/>
      <c r="J523" s="20"/>
      <c r="K523" s="82"/>
      <c r="L523" s="275"/>
      <c r="M523" s="286">
        <v>20000</v>
      </c>
      <c r="N523" s="20">
        <v>19813</v>
      </c>
      <c r="O523" s="218">
        <f t="shared" si="47"/>
        <v>99.064999999999998</v>
      </c>
      <c r="P523" s="433"/>
      <c r="Q523" s="286">
        <f t="shared" si="50"/>
        <v>20000</v>
      </c>
      <c r="R523" s="20">
        <f t="shared" si="51"/>
        <v>19813</v>
      </c>
      <c r="S523" s="219">
        <f t="shared" si="48"/>
        <v>99.064999999999998</v>
      </c>
      <c r="AQ523"/>
    </row>
    <row r="524" spans="2:43" x14ac:dyDescent="0.2">
      <c r="B524" s="78">
        <f t="shared" si="49"/>
        <v>103</v>
      </c>
      <c r="C524" s="3"/>
      <c r="D524" s="3"/>
      <c r="E524" s="3"/>
      <c r="F524" s="25"/>
      <c r="G524" s="3"/>
      <c r="H524" s="4" t="s">
        <v>396</v>
      </c>
      <c r="I524" s="132"/>
      <c r="J524" s="132"/>
      <c r="K524" s="336"/>
      <c r="L524" s="57"/>
      <c r="M524" s="286">
        <v>42000</v>
      </c>
      <c r="N524" s="20"/>
      <c r="O524" s="218">
        <f t="shared" si="47"/>
        <v>0</v>
      </c>
      <c r="P524" s="433"/>
      <c r="Q524" s="286">
        <f t="shared" si="50"/>
        <v>42000</v>
      </c>
      <c r="R524" s="20">
        <f t="shared" si="51"/>
        <v>0</v>
      </c>
      <c r="S524" s="219">
        <f t="shared" si="48"/>
        <v>0</v>
      </c>
      <c r="AQ524"/>
    </row>
    <row r="525" spans="2:43" x14ac:dyDescent="0.2">
      <c r="B525" s="78">
        <f t="shared" si="49"/>
        <v>104</v>
      </c>
      <c r="C525" s="3"/>
      <c r="D525" s="3"/>
      <c r="E525" s="3"/>
      <c r="F525" s="25"/>
      <c r="G525" s="3"/>
      <c r="H525" s="4" t="s">
        <v>451</v>
      </c>
      <c r="I525" s="132"/>
      <c r="J525" s="132"/>
      <c r="K525" s="336"/>
      <c r="L525" s="57"/>
      <c r="M525" s="286">
        <v>52000</v>
      </c>
      <c r="N525" s="20"/>
      <c r="O525" s="218">
        <f t="shared" si="47"/>
        <v>0</v>
      </c>
      <c r="P525" s="433"/>
      <c r="Q525" s="286">
        <f t="shared" ref="Q525:Q545" si="52">I525+M525</f>
        <v>52000</v>
      </c>
      <c r="R525" s="20">
        <f t="shared" ref="R525:R545" si="53">J525+N525</f>
        <v>0</v>
      </c>
      <c r="S525" s="219">
        <f t="shared" si="48"/>
        <v>0</v>
      </c>
      <c r="AQ525"/>
    </row>
    <row r="526" spans="2:43" x14ac:dyDescent="0.2">
      <c r="B526" s="78">
        <f t="shared" si="49"/>
        <v>105</v>
      </c>
      <c r="C526" s="3"/>
      <c r="D526" s="3"/>
      <c r="E526" s="3"/>
      <c r="F526" s="25"/>
      <c r="G526" s="3"/>
      <c r="H526" s="4" t="s">
        <v>452</v>
      </c>
      <c r="I526" s="132"/>
      <c r="J526" s="132"/>
      <c r="K526" s="336"/>
      <c r="L526" s="57"/>
      <c r="M526" s="286">
        <v>80000</v>
      </c>
      <c r="N526" s="20"/>
      <c r="O526" s="218">
        <f t="shared" si="47"/>
        <v>0</v>
      </c>
      <c r="P526" s="433"/>
      <c r="Q526" s="286">
        <f t="shared" si="52"/>
        <v>80000</v>
      </c>
      <c r="R526" s="20">
        <f t="shared" si="53"/>
        <v>0</v>
      </c>
      <c r="S526" s="219">
        <f t="shared" si="48"/>
        <v>0</v>
      </c>
      <c r="AQ526"/>
    </row>
    <row r="527" spans="2:43" x14ac:dyDescent="0.2">
      <c r="B527" s="78">
        <f t="shared" si="49"/>
        <v>106</v>
      </c>
      <c r="C527" s="3"/>
      <c r="D527" s="3"/>
      <c r="E527" s="3"/>
      <c r="F527" s="25"/>
      <c r="G527" s="3"/>
      <c r="H527" s="4" t="s">
        <v>453</v>
      </c>
      <c r="I527" s="132"/>
      <c r="J527" s="132"/>
      <c r="K527" s="336"/>
      <c r="L527" s="57"/>
      <c r="M527" s="286">
        <f>40000-2000</f>
        <v>38000</v>
      </c>
      <c r="N527" s="20"/>
      <c r="O527" s="218">
        <f t="shared" si="47"/>
        <v>0</v>
      </c>
      <c r="P527" s="433"/>
      <c r="Q527" s="286">
        <f t="shared" si="52"/>
        <v>38000</v>
      </c>
      <c r="R527" s="20">
        <f t="shared" si="53"/>
        <v>0</v>
      </c>
      <c r="S527" s="219">
        <f t="shared" si="48"/>
        <v>0</v>
      </c>
      <c r="AQ527"/>
    </row>
    <row r="528" spans="2:43" x14ac:dyDescent="0.2">
      <c r="B528" s="78">
        <f t="shared" si="49"/>
        <v>107</v>
      </c>
      <c r="C528" s="3"/>
      <c r="D528" s="3"/>
      <c r="E528" s="3"/>
      <c r="F528" s="25"/>
      <c r="G528" s="3"/>
      <c r="H528" s="4" t="s">
        <v>397</v>
      </c>
      <c r="I528" s="132"/>
      <c r="J528" s="132"/>
      <c r="K528" s="336"/>
      <c r="L528" s="57"/>
      <c r="M528" s="286">
        <v>16000</v>
      </c>
      <c r="N528" s="20"/>
      <c r="O528" s="218">
        <f t="shared" si="47"/>
        <v>0</v>
      </c>
      <c r="P528" s="433"/>
      <c r="Q528" s="286">
        <f t="shared" si="52"/>
        <v>16000</v>
      </c>
      <c r="R528" s="20">
        <f t="shared" si="53"/>
        <v>0</v>
      </c>
      <c r="S528" s="219">
        <f t="shared" si="48"/>
        <v>0</v>
      </c>
      <c r="AQ528"/>
    </row>
    <row r="529" spans="2:43" x14ac:dyDescent="0.2">
      <c r="B529" s="78">
        <f t="shared" si="49"/>
        <v>108</v>
      </c>
      <c r="C529" s="3"/>
      <c r="D529" s="3"/>
      <c r="E529" s="3"/>
      <c r="F529" s="25"/>
      <c r="G529" s="3"/>
      <c r="H529" s="4" t="s">
        <v>455</v>
      </c>
      <c r="I529" s="132"/>
      <c r="J529" s="132"/>
      <c r="K529" s="336"/>
      <c r="L529" s="57"/>
      <c r="M529" s="286">
        <f>92500-10500-1100-15000-3000-2600-8800</f>
        <v>51500</v>
      </c>
      <c r="N529" s="20">
        <v>51468</v>
      </c>
      <c r="O529" s="218">
        <f t="shared" si="47"/>
        <v>99.9378640776699</v>
      </c>
      <c r="P529" s="433"/>
      <c r="Q529" s="286">
        <f t="shared" si="52"/>
        <v>51500</v>
      </c>
      <c r="R529" s="20">
        <f t="shared" si="53"/>
        <v>51468</v>
      </c>
      <c r="S529" s="219">
        <f t="shared" si="48"/>
        <v>99.9378640776699</v>
      </c>
      <c r="AQ529"/>
    </row>
    <row r="530" spans="2:43" x14ac:dyDescent="0.2">
      <c r="B530" s="78">
        <f t="shared" si="49"/>
        <v>109</v>
      </c>
      <c r="C530" s="3"/>
      <c r="D530" s="3"/>
      <c r="E530" s="3"/>
      <c r="F530" s="25"/>
      <c r="G530" s="3"/>
      <c r="H530" s="4" t="s">
        <v>450</v>
      </c>
      <c r="I530" s="132"/>
      <c r="J530" s="132"/>
      <c r="K530" s="336"/>
      <c r="L530" s="57"/>
      <c r="M530" s="286">
        <v>26000</v>
      </c>
      <c r="N530" s="20"/>
      <c r="O530" s="218">
        <f t="shared" si="47"/>
        <v>0</v>
      </c>
      <c r="P530" s="433"/>
      <c r="Q530" s="286">
        <f t="shared" si="52"/>
        <v>26000</v>
      </c>
      <c r="R530" s="20">
        <f t="shared" si="53"/>
        <v>0</v>
      </c>
      <c r="S530" s="219">
        <f t="shared" si="48"/>
        <v>0</v>
      </c>
      <c r="AQ530"/>
    </row>
    <row r="531" spans="2:43" x14ac:dyDescent="0.2">
      <c r="B531" s="78">
        <f t="shared" si="49"/>
        <v>110</v>
      </c>
      <c r="C531" s="3"/>
      <c r="D531" s="3"/>
      <c r="E531" s="3"/>
      <c r="F531" s="25"/>
      <c r="G531" s="3"/>
      <c r="H531" s="4" t="s">
        <v>458</v>
      </c>
      <c r="I531" s="132"/>
      <c r="J531" s="132"/>
      <c r="K531" s="336"/>
      <c r="L531" s="57"/>
      <c r="M531" s="286">
        <f>47000+27000-2000-1200</f>
        <v>70800</v>
      </c>
      <c r="N531" s="20">
        <v>64705</v>
      </c>
      <c r="O531" s="218">
        <f t="shared" si="47"/>
        <v>91.391242937853107</v>
      </c>
      <c r="P531" s="433"/>
      <c r="Q531" s="286">
        <f t="shared" si="52"/>
        <v>70800</v>
      </c>
      <c r="R531" s="20">
        <f t="shared" si="53"/>
        <v>64705</v>
      </c>
      <c r="S531" s="219">
        <f t="shared" si="48"/>
        <v>91.391242937853107</v>
      </c>
      <c r="AQ531"/>
    </row>
    <row r="532" spans="2:43" x14ac:dyDescent="0.2">
      <c r="B532" s="78">
        <f t="shared" si="49"/>
        <v>111</v>
      </c>
      <c r="C532" s="3"/>
      <c r="D532" s="3"/>
      <c r="E532" s="3"/>
      <c r="F532" s="25"/>
      <c r="G532" s="3"/>
      <c r="H532" s="4" t="s">
        <v>460</v>
      </c>
      <c r="I532" s="132"/>
      <c r="J532" s="132"/>
      <c r="K532" s="336"/>
      <c r="L532" s="57"/>
      <c r="M532" s="286">
        <v>39000</v>
      </c>
      <c r="N532" s="20"/>
      <c r="O532" s="218">
        <f t="shared" si="47"/>
        <v>0</v>
      </c>
      <c r="P532" s="433"/>
      <c r="Q532" s="286">
        <f t="shared" si="52"/>
        <v>39000</v>
      </c>
      <c r="R532" s="20">
        <f t="shared" si="53"/>
        <v>0</v>
      </c>
      <c r="S532" s="219">
        <f t="shared" si="48"/>
        <v>0</v>
      </c>
      <c r="AQ532"/>
    </row>
    <row r="533" spans="2:43" x14ac:dyDescent="0.2">
      <c r="B533" s="78">
        <f t="shared" si="49"/>
        <v>112</v>
      </c>
      <c r="C533" s="3"/>
      <c r="D533" s="3"/>
      <c r="E533" s="3"/>
      <c r="F533" s="25"/>
      <c r="G533" s="3"/>
      <c r="H533" s="4" t="s">
        <v>391</v>
      </c>
      <c r="I533" s="132"/>
      <c r="J533" s="132"/>
      <c r="K533" s="336"/>
      <c r="L533" s="57"/>
      <c r="M533" s="286">
        <v>78000</v>
      </c>
      <c r="N533" s="20"/>
      <c r="O533" s="218">
        <f t="shared" si="47"/>
        <v>0</v>
      </c>
      <c r="P533" s="433"/>
      <c r="Q533" s="286">
        <f t="shared" si="52"/>
        <v>78000</v>
      </c>
      <c r="R533" s="20">
        <f t="shared" si="53"/>
        <v>0</v>
      </c>
      <c r="S533" s="219">
        <f t="shared" si="48"/>
        <v>0</v>
      </c>
      <c r="AQ533"/>
    </row>
    <row r="534" spans="2:43" x14ac:dyDescent="0.2">
      <c r="B534" s="78">
        <f t="shared" si="49"/>
        <v>113</v>
      </c>
      <c r="C534" s="3"/>
      <c r="D534" s="3"/>
      <c r="E534" s="3"/>
      <c r="F534" s="25"/>
      <c r="G534" s="3"/>
      <c r="H534" s="4" t="s">
        <v>398</v>
      </c>
      <c r="I534" s="132"/>
      <c r="J534" s="132"/>
      <c r="K534" s="336"/>
      <c r="L534" s="57"/>
      <c r="M534" s="286">
        <v>18000</v>
      </c>
      <c r="N534" s="20">
        <v>200</v>
      </c>
      <c r="O534" s="218">
        <f t="shared" si="47"/>
        <v>1.1111111111111112</v>
      </c>
      <c r="P534" s="433"/>
      <c r="Q534" s="286">
        <f t="shared" si="52"/>
        <v>18000</v>
      </c>
      <c r="R534" s="20">
        <f t="shared" si="53"/>
        <v>200</v>
      </c>
      <c r="S534" s="219">
        <f t="shared" si="48"/>
        <v>1.1111111111111112</v>
      </c>
      <c r="AQ534"/>
    </row>
    <row r="535" spans="2:43" x14ac:dyDescent="0.2">
      <c r="B535" s="78">
        <f t="shared" si="49"/>
        <v>114</v>
      </c>
      <c r="C535" s="3"/>
      <c r="D535" s="3"/>
      <c r="E535" s="3"/>
      <c r="F535" s="25"/>
      <c r="G535" s="3"/>
      <c r="H535" s="4" t="s">
        <v>394</v>
      </c>
      <c r="I535" s="132"/>
      <c r="J535" s="132"/>
      <c r="K535" s="336"/>
      <c r="L535" s="57"/>
      <c r="M535" s="286">
        <f>29000-5950-1000</f>
        <v>22050</v>
      </c>
      <c r="N535" s="20">
        <v>17472</v>
      </c>
      <c r="O535" s="218">
        <f t="shared" si="47"/>
        <v>79.238095238095241</v>
      </c>
      <c r="P535" s="433"/>
      <c r="Q535" s="286">
        <f t="shared" si="52"/>
        <v>22050</v>
      </c>
      <c r="R535" s="20">
        <f t="shared" si="53"/>
        <v>17472</v>
      </c>
      <c r="S535" s="219">
        <f t="shared" si="48"/>
        <v>79.238095238095241</v>
      </c>
      <c r="AQ535"/>
    </row>
    <row r="536" spans="2:43" x14ac:dyDescent="0.2">
      <c r="B536" s="78">
        <f t="shared" si="49"/>
        <v>115</v>
      </c>
      <c r="C536" s="3"/>
      <c r="D536" s="3"/>
      <c r="E536" s="3"/>
      <c r="F536" s="25"/>
      <c r="G536" s="3"/>
      <c r="H536" s="4" t="s">
        <v>384</v>
      </c>
      <c r="I536" s="132"/>
      <c r="J536" s="132"/>
      <c r="K536" s="336"/>
      <c r="L536" s="57"/>
      <c r="M536" s="286">
        <v>24000</v>
      </c>
      <c r="N536" s="20"/>
      <c r="O536" s="218">
        <f t="shared" si="47"/>
        <v>0</v>
      </c>
      <c r="P536" s="433"/>
      <c r="Q536" s="286">
        <f t="shared" si="52"/>
        <v>24000</v>
      </c>
      <c r="R536" s="20">
        <f t="shared" si="53"/>
        <v>0</v>
      </c>
      <c r="S536" s="219">
        <f t="shared" si="48"/>
        <v>0</v>
      </c>
      <c r="AQ536"/>
    </row>
    <row r="537" spans="2:43" x14ac:dyDescent="0.2">
      <c r="B537" s="78">
        <f t="shared" si="49"/>
        <v>116</v>
      </c>
      <c r="C537" s="3"/>
      <c r="D537" s="3"/>
      <c r="E537" s="3"/>
      <c r="F537" s="25"/>
      <c r="G537" s="3"/>
      <c r="H537" s="4" t="s">
        <v>385</v>
      </c>
      <c r="I537" s="132"/>
      <c r="J537" s="132"/>
      <c r="K537" s="336"/>
      <c r="L537" s="57"/>
      <c r="M537" s="286">
        <f>300000-25000</f>
        <v>275000</v>
      </c>
      <c r="N537" s="20"/>
      <c r="O537" s="218">
        <f t="shared" si="47"/>
        <v>0</v>
      </c>
      <c r="P537" s="433"/>
      <c r="Q537" s="286">
        <f t="shared" si="52"/>
        <v>275000</v>
      </c>
      <c r="R537" s="20">
        <f t="shared" si="53"/>
        <v>0</v>
      </c>
      <c r="S537" s="219">
        <f t="shared" si="48"/>
        <v>0</v>
      </c>
      <c r="AQ537"/>
    </row>
    <row r="538" spans="2:43" x14ac:dyDescent="0.2">
      <c r="B538" s="78">
        <f t="shared" si="49"/>
        <v>117</v>
      </c>
      <c r="C538" s="3"/>
      <c r="D538" s="3"/>
      <c r="E538" s="3"/>
      <c r="F538" s="25"/>
      <c r="G538" s="3"/>
      <c r="H538" s="4" t="s">
        <v>386</v>
      </c>
      <c r="I538" s="132"/>
      <c r="J538" s="132"/>
      <c r="K538" s="336"/>
      <c r="L538" s="57"/>
      <c r="M538" s="286">
        <v>40000</v>
      </c>
      <c r="N538" s="20"/>
      <c r="O538" s="218">
        <f t="shared" si="47"/>
        <v>0</v>
      </c>
      <c r="P538" s="433"/>
      <c r="Q538" s="286">
        <f t="shared" si="52"/>
        <v>40000</v>
      </c>
      <c r="R538" s="20">
        <f t="shared" si="53"/>
        <v>0</v>
      </c>
      <c r="S538" s="219">
        <f t="shared" si="48"/>
        <v>0</v>
      </c>
      <c r="AQ538"/>
    </row>
    <row r="539" spans="2:43" x14ac:dyDescent="0.2">
      <c r="B539" s="78">
        <f t="shared" si="49"/>
        <v>118</v>
      </c>
      <c r="C539" s="3"/>
      <c r="D539" s="3"/>
      <c r="E539" s="3"/>
      <c r="F539" s="25"/>
      <c r="G539" s="3"/>
      <c r="H539" s="4" t="s">
        <v>457</v>
      </c>
      <c r="I539" s="132"/>
      <c r="J539" s="132"/>
      <c r="K539" s="336"/>
      <c r="L539" s="57"/>
      <c r="M539" s="286">
        <v>47000</v>
      </c>
      <c r="N539" s="20"/>
      <c r="O539" s="218">
        <f t="shared" si="47"/>
        <v>0</v>
      </c>
      <c r="P539" s="433"/>
      <c r="Q539" s="286">
        <f t="shared" si="52"/>
        <v>47000</v>
      </c>
      <c r="R539" s="20">
        <f t="shared" si="53"/>
        <v>0</v>
      </c>
      <c r="S539" s="219">
        <f t="shared" si="48"/>
        <v>0</v>
      </c>
      <c r="AQ539"/>
    </row>
    <row r="540" spans="2:43" x14ac:dyDescent="0.2">
      <c r="B540" s="78">
        <f t="shared" si="49"/>
        <v>119</v>
      </c>
      <c r="C540" s="3"/>
      <c r="D540" s="3"/>
      <c r="E540" s="3"/>
      <c r="F540" s="25"/>
      <c r="G540" s="3"/>
      <c r="H540" s="4" t="s">
        <v>459</v>
      </c>
      <c r="I540" s="132"/>
      <c r="J540" s="132"/>
      <c r="K540" s="336"/>
      <c r="L540" s="57"/>
      <c r="M540" s="286">
        <f>47000-4800-150-11000</f>
        <v>31050</v>
      </c>
      <c r="N540" s="20">
        <v>30268</v>
      </c>
      <c r="O540" s="218">
        <f t="shared" si="47"/>
        <v>97.481481481481481</v>
      </c>
      <c r="P540" s="433"/>
      <c r="Q540" s="286">
        <f t="shared" si="52"/>
        <v>31050</v>
      </c>
      <c r="R540" s="20">
        <f t="shared" si="53"/>
        <v>30268</v>
      </c>
      <c r="S540" s="219">
        <f t="shared" si="48"/>
        <v>97.481481481481481</v>
      </c>
      <c r="AQ540"/>
    </row>
    <row r="541" spans="2:43" x14ac:dyDescent="0.2">
      <c r="B541" s="78">
        <f t="shared" si="49"/>
        <v>120</v>
      </c>
      <c r="C541" s="3"/>
      <c r="D541" s="3"/>
      <c r="E541" s="3"/>
      <c r="F541" s="25"/>
      <c r="G541" s="3"/>
      <c r="H541" s="4" t="s">
        <v>461</v>
      </c>
      <c r="I541" s="132"/>
      <c r="J541" s="132"/>
      <c r="K541" s="336"/>
      <c r="L541" s="57"/>
      <c r="M541" s="286">
        <f>45000-1500</f>
        <v>43500</v>
      </c>
      <c r="N541" s="20">
        <v>43445</v>
      </c>
      <c r="O541" s="218">
        <f t="shared" si="47"/>
        <v>99.8735632183908</v>
      </c>
      <c r="P541" s="433"/>
      <c r="Q541" s="286">
        <f t="shared" si="52"/>
        <v>43500</v>
      </c>
      <c r="R541" s="20">
        <f t="shared" si="53"/>
        <v>43445</v>
      </c>
      <c r="S541" s="219">
        <f t="shared" si="48"/>
        <v>99.8735632183908</v>
      </c>
      <c r="AQ541"/>
    </row>
    <row r="542" spans="2:43" x14ac:dyDescent="0.2">
      <c r="B542" s="78">
        <f t="shared" si="49"/>
        <v>121</v>
      </c>
      <c r="C542" s="3"/>
      <c r="D542" s="3"/>
      <c r="E542" s="3"/>
      <c r="F542" s="25"/>
      <c r="G542" s="3"/>
      <c r="H542" s="4" t="s">
        <v>393</v>
      </c>
      <c r="I542" s="132"/>
      <c r="J542" s="132"/>
      <c r="K542" s="336"/>
      <c r="L542" s="57"/>
      <c r="M542" s="286">
        <f>16000-6500</f>
        <v>9500</v>
      </c>
      <c r="N542" s="20">
        <v>8677</v>
      </c>
      <c r="O542" s="218">
        <f t="shared" si="47"/>
        <v>91.336842105263159</v>
      </c>
      <c r="P542" s="433"/>
      <c r="Q542" s="286">
        <f t="shared" si="52"/>
        <v>9500</v>
      </c>
      <c r="R542" s="20">
        <f t="shared" si="53"/>
        <v>8677</v>
      </c>
      <c r="S542" s="219">
        <f t="shared" si="48"/>
        <v>91.336842105263159</v>
      </c>
      <c r="AQ542"/>
    </row>
    <row r="543" spans="2:43" x14ac:dyDescent="0.2">
      <c r="B543" s="78">
        <f t="shared" si="49"/>
        <v>122</v>
      </c>
      <c r="C543" s="3"/>
      <c r="D543" s="3"/>
      <c r="E543" s="3"/>
      <c r="F543" s="25"/>
      <c r="G543" s="3"/>
      <c r="H543" s="4" t="s">
        <v>395</v>
      </c>
      <c r="I543" s="132"/>
      <c r="J543" s="132"/>
      <c r="K543" s="336"/>
      <c r="L543" s="57"/>
      <c r="M543" s="286">
        <v>200000</v>
      </c>
      <c r="N543" s="20">
        <v>500</v>
      </c>
      <c r="O543" s="218">
        <f t="shared" si="47"/>
        <v>0.25</v>
      </c>
      <c r="P543" s="433"/>
      <c r="Q543" s="286">
        <f t="shared" si="52"/>
        <v>200000</v>
      </c>
      <c r="R543" s="20">
        <f t="shared" si="53"/>
        <v>500</v>
      </c>
      <c r="S543" s="219">
        <f t="shared" si="48"/>
        <v>0.25</v>
      </c>
      <c r="AQ543"/>
    </row>
    <row r="544" spans="2:43" x14ac:dyDescent="0.2">
      <c r="B544" s="78">
        <f t="shared" si="49"/>
        <v>123</v>
      </c>
      <c r="C544" s="3"/>
      <c r="D544" s="3"/>
      <c r="E544" s="3"/>
      <c r="F544" s="25"/>
      <c r="G544" s="3"/>
      <c r="H544" s="4" t="s">
        <v>383</v>
      </c>
      <c r="I544" s="132"/>
      <c r="J544" s="132"/>
      <c r="K544" s="336"/>
      <c r="L544" s="57"/>
      <c r="M544" s="286">
        <v>16000</v>
      </c>
      <c r="N544" s="20"/>
      <c r="O544" s="218">
        <f t="shared" si="47"/>
        <v>0</v>
      </c>
      <c r="P544" s="433"/>
      <c r="Q544" s="286">
        <f t="shared" si="52"/>
        <v>16000</v>
      </c>
      <c r="R544" s="20">
        <f t="shared" si="53"/>
        <v>0</v>
      </c>
      <c r="S544" s="219">
        <f t="shared" si="48"/>
        <v>0</v>
      </c>
      <c r="AQ544"/>
    </row>
    <row r="545" spans="2:43" ht="13.5" thickBot="1" x14ac:dyDescent="0.25">
      <c r="B545" s="83">
        <f t="shared" si="49"/>
        <v>124</v>
      </c>
      <c r="C545" s="14"/>
      <c r="D545" s="14"/>
      <c r="E545" s="14"/>
      <c r="F545" s="84"/>
      <c r="G545" s="14"/>
      <c r="H545" s="89" t="s">
        <v>392</v>
      </c>
      <c r="I545" s="152"/>
      <c r="J545" s="152"/>
      <c r="K545" s="337"/>
      <c r="L545" s="57"/>
      <c r="M545" s="290">
        <v>55000</v>
      </c>
      <c r="N545" s="92"/>
      <c r="O545" s="269">
        <f t="shared" si="47"/>
        <v>0</v>
      </c>
      <c r="P545" s="433"/>
      <c r="Q545" s="290">
        <f t="shared" si="52"/>
        <v>55000</v>
      </c>
      <c r="R545" s="92">
        <f t="shared" si="53"/>
        <v>0</v>
      </c>
      <c r="S545" s="259">
        <f t="shared" si="48"/>
        <v>0</v>
      </c>
      <c r="AQ545"/>
    </row>
    <row r="546" spans="2:43" x14ac:dyDescent="0.2">
      <c r="P546" s="434"/>
    </row>
    <row r="568" spans="2:19" ht="27.75" thickBot="1" x14ac:dyDescent="0.4">
      <c r="B568" s="515" t="s">
        <v>28</v>
      </c>
      <c r="C568" s="516"/>
      <c r="D568" s="516"/>
      <c r="E568" s="516"/>
      <c r="F568" s="516"/>
      <c r="G568" s="516"/>
      <c r="H568" s="516"/>
      <c r="I568" s="516"/>
      <c r="J568" s="516"/>
      <c r="K568" s="516"/>
      <c r="L568" s="516"/>
      <c r="M568" s="516"/>
      <c r="N568" s="516"/>
      <c r="O568" s="516"/>
      <c r="P568" s="516"/>
      <c r="Q568" s="516"/>
    </row>
    <row r="569" spans="2:19" ht="13.5" thickBot="1" x14ac:dyDescent="0.25">
      <c r="B569" s="531" t="s">
        <v>352</v>
      </c>
      <c r="C569" s="532"/>
      <c r="D569" s="532"/>
      <c r="E569" s="532"/>
      <c r="F569" s="532"/>
      <c r="G569" s="532"/>
      <c r="H569" s="532"/>
      <c r="I569" s="532"/>
      <c r="J569" s="532"/>
      <c r="K569" s="532"/>
      <c r="L569" s="532"/>
      <c r="M569" s="532"/>
      <c r="N569" s="532"/>
      <c r="O569" s="533"/>
      <c r="P569" s="422"/>
      <c r="Q569" s="520" t="s">
        <v>662</v>
      </c>
      <c r="R569" s="496" t="s">
        <v>668</v>
      </c>
      <c r="S569" s="499" t="s">
        <v>663</v>
      </c>
    </row>
    <row r="570" spans="2:19" x14ac:dyDescent="0.2">
      <c r="B570" s="522"/>
      <c r="C570" s="525" t="s">
        <v>126</v>
      </c>
      <c r="D570" s="525" t="s">
        <v>127</v>
      </c>
      <c r="E570" s="525"/>
      <c r="F570" s="525" t="s">
        <v>128</v>
      </c>
      <c r="G570" s="506" t="s">
        <v>129</v>
      </c>
      <c r="H570" s="509" t="s">
        <v>130</v>
      </c>
      <c r="I570" s="496" t="s">
        <v>664</v>
      </c>
      <c r="J570" s="496" t="s">
        <v>666</v>
      </c>
      <c r="K570" s="499" t="s">
        <v>663</v>
      </c>
      <c r="L570" s="423"/>
      <c r="M570" s="512" t="s">
        <v>665</v>
      </c>
      <c r="N570" s="496" t="s">
        <v>667</v>
      </c>
      <c r="O570" s="499" t="s">
        <v>663</v>
      </c>
      <c r="P570" s="423"/>
      <c r="Q570" s="521"/>
      <c r="R570" s="497"/>
      <c r="S570" s="500"/>
    </row>
    <row r="571" spans="2:19" x14ac:dyDescent="0.2">
      <c r="B571" s="523"/>
      <c r="C571" s="526"/>
      <c r="D571" s="526"/>
      <c r="E571" s="526"/>
      <c r="F571" s="526"/>
      <c r="G571" s="507"/>
      <c r="H571" s="510"/>
      <c r="I571" s="497"/>
      <c r="J571" s="497"/>
      <c r="K571" s="500"/>
      <c r="L571" s="423"/>
      <c r="M571" s="513"/>
      <c r="N571" s="497"/>
      <c r="O571" s="500"/>
      <c r="P571" s="423"/>
      <c r="Q571" s="521"/>
      <c r="R571" s="497"/>
      <c r="S571" s="500"/>
    </row>
    <row r="572" spans="2:19" x14ac:dyDescent="0.2">
      <c r="B572" s="523"/>
      <c r="C572" s="526"/>
      <c r="D572" s="526"/>
      <c r="E572" s="526"/>
      <c r="F572" s="526"/>
      <c r="G572" s="507"/>
      <c r="H572" s="510"/>
      <c r="I572" s="497"/>
      <c r="J572" s="497"/>
      <c r="K572" s="500"/>
      <c r="L572" s="423"/>
      <c r="M572" s="513"/>
      <c r="N572" s="497"/>
      <c r="O572" s="500"/>
      <c r="P572" s="423"/>
      <c r="Q572" s="521"/>
      <c r="R572" s="497"/>
      <c r="S572" s="500"/>
    </row>
    <row r="573" spans="2:19" ht="13.5" thickBot="1" x14ac:dyDescent="0.25">
      <c r="B573" s="524"/>
      <c r="C573" s="527"/>
      <c r="D573" s="527"/>
      <c r="E573" s="527"/>
      <c r="F573" s="527"/>
      <c r="G573" s="508"/>
      <c r="H573" s="511"/>
      <c r="I573" s="498"/>
      <c r="J573" s="498"/>
      <c r="K573" s="501"/>
      <c r="L573" s="423"/>
      <c r="M573" s="514"/>
      <c r="N573" s="498"/>
      <c r="O573" s="501"/>
      <c r="P573" s="423"/>
      <c r="Q573" s="521"/>
      <c r="R573" s="498"/>
      <c r="S573" s="501"/>
    </row>
    <row r="574" spans="2:19" ht="16.5" thickTop="1" x14ac:dyDescent="0.2">
      <c r="B574" s="78">
        <v>1</v>
      </c>
      <c r="C574" s="502" t="s">
        <v>28</v>
      </c>
      <c r="D574" s="503"/>
      <c r="E574" s="503"/>
      <c r="F574" s="503"/>
      <c r="G574" s="503"/>
      <c r="H574" s="504"/>
      <c r="I574" s="34">
        <f>I764+I971+I1077+I1326+I575</f>
        <v>18212015</v>
      </c>
      <c r="J574" s="34">
        <f>J764+J971+J1077+J1326+J575</f>
        <v>18198941</v>
      </c>
      <c r="K574" s="218">
        <f t="shared" ref="K574:K632" si="54">J574/I574*100</f>
        <v>99.92821222692821</v>
      </c>
      <c r="L574" s="288"/>
      <c r="M574" s="281">
        <f>M764+M971+M1077+M1326+M575</f>
        <v>3685444</v>
      </c>
      <c r="N574" s="281">
        <f>N764+N971+N1077+N1326+N575</f>
        <v>2724841</v>
      </c>
      <c r="O574" s="218">
        <f t="shared" ref="O574:O635" si="55">N574/M574*100</f>
        <v>73.935216489519306</v>
      </c>
      <c r="P574" s="288"/>
      <c r="Q574" s="281">
        <f t="shared" ref="Q574:R643" si="56">I574+M574</f>
        <v>21897459</v>
      </c>
      <c r="R574" s="34">
        <f t="shared" si="56"/>
        <v>20923782</v>
      </c>
      <c r="S574" s="219">
        <f t="shared" ref="S574:S637" si="57">R574/Q574*100</f>
        <v>95.553470382111456</v>
      </c>
    </row>
    <row r="575" spans="2:19" ht="15" x14ac:dyDescent="0.2">
      <c r="B575" s="78">
        <f>B574+1</f>
        <v>2</v>
      </c>
      <c r="C575" s="430">
        <v>2</v>
      </c>
      <c r="D575" s="505" t="s">
        <v>197</v>
      </c>
      <c r="E575" s="494"/>
      <c r="F575" s="494"/>
      <c r="G575" s="494"/>
      <c r="H575" s="495"/>
      <c r="I575" s="35">
        <f>I576+I588+I601</f>
        <v>4331039</v>
      </c>
      <c r="J575" s="35">
        <f>J576+J588+J601</f>
        <v>4321911</v>
      </c>
      <c r="K575" s="218">
        <f t="shared" si="54"/>
        <v>99.789242258035543</v>
      </c>
      <c r="L575" s="276"/>
      <c r="M575" s="282">
        <f>M588+M601</f>
        <v>3162969</v>
      </c>
      <c r="N575" s="282">
        <f>N588+N601</f>
        <v>2236220</v>
      </c>
      <c r="O575" s="218">
        <f t="shared" si="55"/>
        <v>70.700028991747942</v>
      </c>
      <c r="P575" s="276"/>
      <c r="Q575" s="282">
        <f t="shared" si="56"/>
        <v>7494008</v>
      </c>
      <c r="R575" s="35">
        <f t="shared" si="56"/>
        <v>6558131</v>
      </c>
      <c r="S575" s="219">
        <f t="shared" si="57"/>
        <v>87.511662651013992</v>
      </c>
    </row>
    <row r="576" spans="2:19" x14ac:dyDescent="0.2">
      <c r="B576" s="78">
        <f>B575+1</f>
        <v>3</v>
      </c>
      <c r="C576" s="7"/>
      <c r="D576" s="7"/>
      <c r="E576" s="7"/>
      <c r="F576" s="24" t="s">
        <v>203</v>
      </c>
      <c r="G576" s="7">
        <v>640</v>
      </c>
      <c r="H576" s="7" t="s">
        <v>141</v>
      </c>
      <c r="I576" s="22">
        <f>I577+I579</f>
        <v>595354</v>
      </c>
      <c r="J576" s="22">
        <f>J577+J579</f>
        <v>594504</v>
      </c>
      <c r="K576" s="218">
        <f t="shared" si="54"/>
        <v>99.857227800602672</v>
      </c>
      <c r="L576" s="278"/>
      <c r="M576" s="284"/>
      <c r="N576" s="22"/>
      <c r="O576" s="218"/>
      <c r="P576" s="278"/>
      <c r="Q576" s="284">
        <f t="shared" si="56"/>
        <v>595354</v>
      </c>
      <c r="R576" s="22">
        <f t="shared" si="56"/>
        <v>594504</v>
      </c>
      <c r="S576" s="219">
        <f t="shared" si="57"/>
        <v>99.857227800602672</v>
      </c>
    </row>
    <row r="577" spans="2:19" x14ac:dyDescent="0.2">
      <c r="B577" s="78">
        <f t="shared" ref="B577:B640" si="58">B576+1</f>
        <v>4</v>
      </c>
      <c r="C577" s="3"/>
      <c r="D577" s="3"/>
      <c r="E577" s="3"/>
      <c r="F577" s="25" t="s">
        <v>203</v>
      </c>
      <c r="G577" s="3">
        <v>641</v>
      </c>
      <c r="H577" s="3" t="s">
        <v>195</v>
      </c>
      <c r="I577" s="18">
        <f>I578</f>
        <v>850</v>
      </c>
      <c r="J577" s="18">
        <f>J578</f>
        <v>0</v>
      </c>
      <c r="K577" s="218">
        <f t="shared" si="54"/>
        <v>0</v>
      </c>
      <c r="L577" s="279"/>
      <c r="M577" s="285"/>
      <c r="N577" s="18"/>
      <c r="O577" s="218"/>
      <c r="P577" s="279"/>
      <c r="Q577" s="285">
        <f t="shared" si="56"/>
        <v>850</v>
      </c>
      <c r="R577" s="18">
        <f t="shared" si="56"/>
        <v>0</v>
      </c>
      <c r="S577" s="219">
        <f t="shared" si="57"/>
        <v>0</v>
      </c>
    </row>
    <row r="578" spans="2:19" x14ac:dyDescent="0.2">
      <c r="B578" s="78">
        <f t="shared" si="58"/>
        <v>5</v>
      </c>
      <c r="C578" s="4"/>
      <c r="D578" s="4"/>
      <c r="E578" s="4"/>
      <c r="F578" s="26"/>
      <c r="G578" s="4"/>
      <c r="H578" s="4" t="s">
        <v>294</v>
      </c>
      <c r="I578" s="20">
        <f>3050-200-1710-290</f>
        <v>850</v>
      </c>
      <c r="J578" s="20"/>
      <c r="K578" s="218">
        <f t="shared" si="54"/>
        <v>0</v>
      </c>
      <c r="L578" s="280"/>
      <c r="M578" s="286"/>
      <c r="N578" s="20"/>
      <c r="O578" s="218"/>
      <c r="P578" s="280"/>
      <c r="Q578" s="286">
        <f t="shared" si="56"/>
        <v>850</v>
      </c>
      <c r="R578" s="20">
        <f t="shared" si="56"/>
        <v>0</v>
      </c>
      <c r="S578" s="219">
        <f t="shared" si="57"/>
        <v>0</v>
      </c>
    </row>
    <row r="579" spans="2:19" x14ac:dyDescent="0.2">
      <c r="B579" s="78">
        <f t="shared" si="58"/>
        <v>6</v>
      </c>
      <c r="C579" s="3"/>
      <c r="D579" s="3"/>
      <c r="E579" s="3"/>
      <c r="F579" s="25" t="s">
        <v>203</v>
      </c>
      <c r="G579" s="3">
        <v>642</v>
      </c>
      <c r="H579" s="3" t="s">
        <v>142</v>
      </c>
      <c r="I579" s="60">
        <f>SUM(I580:I587)</f>
        <v>594504</v>
      </c>
      <c r="J579" s="60">
        <f>SUM(J580:J587)</f>
        <v>594504</v>
      </c>
      <c r="K579" s="218">
        <f t="shared" si="54"/>
        <v>100</v>
      </c>
      <c r="L579" s="279"/>
      <c r="M579" s="285"/>
      <c r="N579" s="18"/>
      <c r="O579" s="218"/>
      <c r="P579" s="279"/>
      <c r="Q579" s="285">
        <f t="shared" si="56"/>
        <v>594504</v>
      </c>
      <c r="R579" s="18">
        <f t="shared" si="56"/>
        <v>594504</v>
      </c>
      <c r="S579" s="219">
        <f t="shared" si="57"/>
        <v>100</v>
      </c>
    </row>
    <row r="580" spans="2:19" x14ac:dyDescent="0.2">
      <c r="B580" s="78">
        <f t="shared" si="58"/>
        <v>7</v>
      </c>
      <c r="C580" s="4"/>
      <c r="D580" s="4"/>
      <c r="E580" s="4"/>
      <c r="F580" s="26"/>
      <c r="G580" s="4"/>
      <c r="H580" s="4" t="s">
        <v>546</v>
      </c>
      <c r="I580" s="38">
        <f>148800+837</f>
        <v>149637</v>
      </c>
      <c r="J580" s="38">
        <v>149637</v>
      </c>
      <c r="K580" s="218">
        <f t="shared" si="54"/>
        <v>100</v>
      </c>
      <c r="L580" s="280"/>
      <c r="M580" s="286"/>
      <c r="N580" s="20"/>
      <c r="O580" s="218"/>
      <c r="P580" s="280"/>
      <c r="Q580" s="286">
        <f t="shared" si="56"/>
        <v>149637</v>
      </c>
      <c r="R580" s="20">
        <f t="shared" si="56"/>
        <v>149637</v>
      </c>
      <c r="S580" s="219">
        <f t="shared" si="57"/>
        <v>100</v>
      </c>
    </row>
    <row r="581" spans="2:19" x14ac:dyDescent="0.2">
      <c r="B581" s="78">
        <f t="shared" si="58"/>
        <v>8</v>
      </c>
      <c r="C581" s="4"/>
      <c r="D581" s="4"/>
      <c r="E581" s="4"/>
      <c r="F581" s="26"/>
      <c r="G581" s="4"/>
      <c r="H581" s="44" t="s">
        <v>526</v>
      </c>
      <c r="I581" s="38">
        <f>66357+373</f>
        <v>66730</v>
      </c>
      <c r="J581" s="38">
        <v>66730</v>
      </c>
      <c r="K581" s="218">
        <f t="shared" si="54"/>
        <v>100</v>
      </c>
      <c r="L581" s="280"/>
      <c r="M581" s="286"/>
      <c r="N581" s="20"/>
      <c r="O581" s="218"/>
      <c r="P581" s="280"/>
      <c r="Q581" s="286">
        <f t="shared" si="56"/>
        <v>66730</v>
      </c>
      <c r="R581" s="20">
        <f t="shared" si="56"/>
        <v>66730</v>
      </c>
      <c r="S581" s="219">
        <f t="shared" si="57"/>
        <v>100</v>
      </c>
    </row>
    <row r="582" spans="2:19" x14ac:dyDescent="0.2">
      <c r="B582" s="78">
        <f t="shared" si="58"/>
        <v>9</v>
      </c>
      <c r="C582" s="4"/>
      <c r="D582" s="4"/>
      <c r="E582" s="4"/>
      <c r="F582" s="26"/>
      <c r="G582" s="4"/>
      <c r="H582" s="44" t="s">
        <v>527</v>
      </c>
      <c r="I582" s="38">
        <f>52282+293</f>
        <v>52575</v>
      </c>
      <c r="J582" s="38">
        <v>52575</v>
      </c>
      <c r="K582" s="218">
        <f t="shared" si="54"/>
        <v>100</v>
      </c>
      <c r="L582" s="280"/>
      <c r="M582" s="286"/>
      <c r="N582" s="20"/>
      <c r="O582" s="218"/>
      <c r="P582" s="280"/>
      <c r="Q582" s="286">
        <f t="shared" si="56"/>
        <v>52575</v>
      </c>
      <c r="R582" s="20">
        <f t="shared" si="56"/>
        <v>52575</v>
      </c>
      <c r="S582" s="219">
        <f t="shared" si="57"/>
        <v>100</v>
      </c>
    </row>
    <row r="583" spans="2:19" x14ac:dyDescent="0.2">
      <c r="B583" s="78">
        <f t="shared" si="58"/>
        <v>10</v>
      </c>
      <c r="C583" s="4"/>
      <c r="D583" s="4"/>
      <c r="E583" s="4"/>
      <c r="F583" s="26"/>
      <c r="G583" s="4"/>
      <c r="H583" s="4" t="s">
        <v>528</v>
      </c>
      <c r="I583" s="38">
        <f>22119+125</f>
        <v>22244</v>
      </c>
      <c r="J583" s="38">
        <v>22244</v>
      </c>
      <c r="K583" s="218">
        <f t="shared" si="54"/>
        <v>100</v>
      </c>
      <c r="L583" s="280"/>
      <c r="M583" s="286"/>
      <c r="N583" s="20"/>
      <c r="O583" s="218"/>
      <c r="P583" s="280"/>
      <c r="Q583" s="286">
        <f t="shared" si="56"/>
        <v>22244</v>
      </c>
      <c r="R583" s="20">
        <f t="shared" si="56"/>
        <v>22244</v>
      </c>
      <c r="S583" s="219">
        <f t="shared" si="57"/>
        <v>100</v>
      </c>
    </row>
    <row r="584" spans="2:19" x14ac:dyDescent="0.2">
      <c r="B584" s="78">
        <f t="shared" si="58"/>
        <v>11</v>
      </c>
      <c r="C584" s="4"/>
      <c r="D584" s="4"/>
      <c r="E584" s="4"/>
      <c r="F584" s="26"/>
      <c r="G584" s="4"/>
      <c r="H584" s="4" t="s">
        <v>529</v>
      </c>
      <c r="I584" s="38">
        <f>76411+430</f>
        <v>76841</v>
      </c>
      <c r="J584" s="38">
        <v>76841</v>
      </c>
      <c r="K584" s="218">
        <f t="shared" si="54"/>
        <v>100</v>
      </c>
      <c r="L584" s="280"/>
      <c r="M584" s="286"/>
      <c r="N584" s="20"/>
      <c r="O584" s="218"/>
      <c r="P584" s="280"/>
      <c r="Q584" s="286">
        <f t="shared" si="56"/>
        <v>76841</v>
      </c>
      <c r="R584" s="20">
        <f t="shared" si="56"/>
        <v>76841</v>
      </c>
      <c r="S584" s="219">
        <f t="shared" si="57"/>
        <v>100</v>
      </c>
    </row>
    <row r="585" spans="2:19" x14ac:dyDescent="0.2">
      <c r="B585" s="78">
        <f t="shared" si="58"/>
        <v>12</v>
      </c>
      <c r="C585" s="4"/>
      <c r="D585" s="4"/>
      <c r="E585" s="4"/>
      <c r="F585" s="26"/>
      <c r="G585" s="4"/>
      <c r="H585" s="4" t="s">
        <v>530</v>
      </c>
      <c r="I585" s="38">
        <f>90487+508</f>
        <v>90995</v>
      </c>
      <c r="J585" s="38">
        <v>90995</v>
      </c>
      <c r="K585" s="218">
        <f t="shared" si="54"/>
        <v>100</v>
      </c>
      <c r="L585" s="280"/>
      <c r="M585" s="286"/>
      <c r="N585" s="20"/>
      <c r="O585" s="218"/>
      <c r="P585" s="280"/>
      <c r="Q585" s="286">
        <f t="shared" si="56"/>
        <v>90995</v>
      </c>
      <c r="R585" s="20">
        <f t="shared" si="56"/>
        <v>90995</v>
      </c>
      <c r="S585" s="219">
        <f t="shared" si="57"/>
        <v>100</v>
      </c>
    </row>
    <row r="586" spans="2:19" x14ac:dyDescent="0.2">
      <c r="B586" s="78">
        <f t="shared" si="58"/>
        <v>13</v>
      </c>
      <c r="C586" s="4"/>
      <c r="D586" s="4"/>
      <c r="E586" s="4"/>
      <c r="F586" s="26"/>
      <c r="G586" s="4"/>
      <c r="H586" s="4" t="s">
        <v>531</v>
      </c>
      <c r="I586" s="38">
        <f>88476+497</f>
        <v>88973</v>
      </c>
      <c r="J586" s="38">
        <v>88973</v>
      </c>
      <c r="K586" s="218">
        <f t="shared" si="54"/>
        <v>100</v>
      </c>
      <c r="L586" s="280"/>
      <c r="M586" s="286"/>
      <c r="N586" s="20"/>
      <c r="O586" s="218"/>
      <c r="P586" s="280"/>
      <c r="Q586" s="286">
        <f t="shared" si="56"/>
        <v>88973</v>
      </c>
      <c r="R586" s="20">
        <f t="shared" si="56"/>
        <v>88973</v>
      </c>
      <c r="S586" s="219">
        <f t="shared" si="57"/>
        <v>100</v>
      </c>
    </row>
    <row r="587" spans="2:19" x14ac:dyDescent="0.2">
      <c r="B587" s="78">
        <f t="shared" si="58"/>
        <v>14</v>
      </c>
      <c r="C587" s="4"/>
      <c r="D587" s="4"/>
      <c r="E587" s="4"/>
      <c r="F587" s="26"/>
      <c r="G587" s="4"/>
      <c r="H587" s="4" t="s">
        <v>532</v>
      </c>
      <c r="I587" s="38">
        <f>46249+260</f>
        <v>46509</v>
      </c>
      <c r="J587" s="38">
        <v>46509</v>
      </c>
      <c r="K587" s="218">
        <f t="shared" si="54"/>
        <v>100</v>
      </c>
      <c r="L587" s="280"/>
      <c r="M587" s="286"/>
      <c r="N587" s="20"/>
      <c r="O587" s="218"/>
      <c r="P587" s="280"/>
      <c r="Q587" s="286">
        <f t="shared" si="56"/>
        <v>46509</v>
      </c>
      <c r="R587" s="20">
        <f t="shared" si="56"/>
        <v>46509</v>
      </c>
      <c r="S587" s="219">
        <f t="shared" si="57"/>
        <v>100</v>
      </c>
    </row>
    <row r="588" spans="2:19" ht="15" x14ac:dyDescent="0.25">
      <c r="B588" s="78">
        <f t="shared" si="58"/>
        <v>15</v>
      </c>
      <c r="C588" s="10"/>
      <c r="D588" s="10"/>
      <c r="E588" s="10">
        <v>3</v>
      </c>
      <c r="F588" s="27"/>
      <c r="G588" s="10"/>
      <c r="H588" s="10" t="s">
        <v>402</v>
      </c>
      <c r="I588" s="37">
        <f>I589+I590+I591+I597</f>
        <v>505731</v>
      </c>
      <c r="J588" s="37">
        <f>J589+J590+J591+J597</f>
        <v>505731</v>
      </c>
      <c r="K588" s="218">
        <f t="shared" si="54"/>
        <v>100</v>
      </c>
      <c r="L588" s="295"/>
      <c r="M588" s="299">
        <f>M598</f>
        <v>1235818</v>
      </c>
      <c r="N588" s="37">
        <f>N598</f>
        <v>1232180</v>
      </c>
      <c r="O588" s="218">
        <f t="shared" si="55"/>
        <v>99.705620083216147</v>
      </c>
      <c r="P588" s="295"/>
      <c r="Q588" s="299">
        <f t="shared" si="56"/>
        <v>1741549</v>
      </c>
      <c r="R588" s="37">
        <f t="shared" si="56"/>
        <v>1737911</v>
      </c>
      <c r="S588" s="219">
        <f t="shared" si="57"/>
        <v>99.791105504352743</v>
      </c>
    </row>
    <row r="589" spans="2:19" x14ac:dyDescent="0.2">
      <c r="B589" s="78">
        <f t="shared" si="58"/>
        <v>16</v>
      </c>
      <c r="C589" s="7"/>
      <c r="D589" s="7"/>
      <c r="E589" s="7"/>
      <c r="F589" s="24" t="s">
        <v>203</v>
      </c>
      <c r="G589" s="7">
        <v>610</v>
      </c>
      <c r="H589" s="7" t="s">
        <v>143</v>
      </c>
      <c r="I589" s="22">
        <f>271673+19076+2398+3000+50+1960+4585-1078</f>
        <v>301664</v>
      </c>
      <c r="J589" s="22">
        <v>301664</v>
      </c>
      <c r="K589" s="218">
        <f t="shared" si="54"/>
        <v>100</v>
      </c>
      <c r="L589" s="278"/>
      <c r="M589" s="284"/>
      <c r="N589" s="22"/>
      <c r="O589" s="218"/>
      <c r="P589" s="278"/>
      <c r="Q589" s="284">
        <f t="shared" si="56"/>
        <v>301664</v>
      </c>
      <c r="R589" s="22">
        <f t="shared" si="56"/>
        <v>301664</v>
      </c>
      <c r="S589" s="219">
        <f t="shared" si="57"/>
        <v>100</v>
      </c>
    </row>
    <row r="590" spans="2:19" x14ac:dyDescent="0.2">
      <c r="B590" s="78">
        <f t="shared" si="58"/>
        <v>17</v>
      </c>
      <c r="C590" s="7"/>
      <c r="D590" s="7"/>
      <c r="E590" s="7"/>
      <c r="F590" s="24" t="s">
        <v>203</v>
      </c>
      <c r="G590" s="7">
        <v>620</v>
      </c>
      <c r="H590" s="7" t="s">
        <v>136</v>
      </c>
      <c r="I590" s="22">
        <f>102430+7049+886+10+690-377</f>
        <v>110688</v>
      </c>
      <c r="J590" s="22">
        <v>110688</v>
      </c>
      <c r="K590" s="218">
        <f t="shared" si="54"/>
        <v>100</v>
      </c>
      <c r="L590" s="278"/>
      <c r="M590" s="284"/>
      <c r="N590" s="22"/>
      <c r="O590" s="218"/>
      <c r="P590" s="278"/>
      <c r="Q590" s="284">
        <f t="shared" si="56"/>
        <v>110688</v>
      </c>
      <c r="R590" s="22">
        <f t="shared" si="56"/>
        <v>110688</v>
      </c>
      <c r="S590" s="219">
        <f t="shared" si="57"/>
        <v>100</v>
      </c>
    </row>
    <row r="591" spans="2:19" x14ac:dyDescent="0.2">
      <c r="B591" s="78">
        <f t="shared" si="58"/>
        <v>18</v>
      </c>
      <c r="C591" s="7"/>
      <c r="D591" s="7"/>
      <c r="E591" s="7"/>
      <c r="F591" s="24" t="s">
        <v>203</v>
      </c>
      <c r="G591" s="7">
        <v>630</v>
      </c>
      <c r="H591" s="7" t="s">
        <v>133</v>
      </c>
      <c r="I591" s="22">
        <f>SUM(I592:I596)</f>
        <v>87515</v>
      </c>
      <c r="J591" s="22">
        <f>SUM(J592:J596)</f>
        <v>87515</v>
      </c>
      <c r="K591" s="218">
        <f t="shared" si="54"/>
        <v>100</v>
      </c>
      <c r="L591" s="278"/>
      <c r="M591" s="284"/>
      <c r="N591" s="22"/>
      <c r="O591" s="218"/>
      <c r="P591" s="278"/>
      <c r="Q591" s="284">
        <f t="shared" si="56"/>
        <v>87515</v>
      </c>
      <c r="R591" s="22">
        <f t="shared" si="56"/>
        <v>87515</v>
      </c>
      <c r="S591" s="219">
        <f t="shared" si="57"/>
        <v>100</v>
      </c>
    </row>
    <row r="592" spans="2:19" x14ac:dyDescent="0.2">
      <c r="B592" s="78">
        <f t="shared" si="58"/>
        <v>19</v>
      </c>
      <c r="C592" s="3"/>
      <c r="D592" s="3"/>
      <c r="E592" s="3"/>
      <c r="F592" s="25" t="s">
        <v>203</v>
      </c>
      <c r="G592" s="3">
        <v>632</v>
      </c>
      <c r="H592" s="3" t="s">
        <v>146</v>
      </c>
      <c r="I592" s="18">
        <f>49600-6500</f>
        <v>43100</v>
      </c>
      <c r="J592" s="18">
        <v>43100</v>
      </c>
      <c r="K592" s="218">
        <f t="shared" si="54"/>
        <v>100</v>
      </c>
      <c r="L592" s="279"/>
      <c r="M592" s="285"/>
      <c r="N592" s="18"/>
      <c r="O592" s="218"/>
      <c r="P592" s="279"/>
      <c r="Q592" s="285">
        <f t="shared" si="56"/>
        <v>43100</v>
      </c>
      <c r="R592" s="18">
        <f t="shared" si="56"/>
        <v>43100</v>
      </c>
      <c r="S592" s="219">
        <f t="shared" si="57"/>
        <v>100</v>
      </c>
    </row>
    <row r="593" spans="2:19" x14ac:dyDescent="0.2">
      <c r="B593" s="78">
        <f t="shared" si="58"/>
        <v>20</v>
      </c>
      <c r="C593" s="3"/>
      <c r="D593" s="3"/>
      <c r="E593" s="3"/>
      <c r="F593" s="25" t="s">
        <v>203</v>
      </c>
      <c r="G593" s="3">
        <v>633</v>
      </c>
      <c r="H593" s="3" t="s">
        <v>137</v>
      </c>
      <c r="I593" s="18">
        <f>24830-165-12400-4585+6500-6500</f>
        <v>7680</v>
      </c>
      <c r="J593" s="18">
        <v>7680</v>
      </c>
      <c r="K593" s="218">
        <f t="shared" si="54"/>
        <v>100</v>
      </c>
      <c r="L593" s="279"/>
      <c r="M593" s="285"/>
      <c r="N593" s="18"/>
      <c r="O593" s="218"/>
      <c r="P593" s="279"/>
      <c r="Q593" s="285">
        <f t="shared" si="56"/>
        <v>7680</v>
      </c>
      <c r="R593" s="18">
        <f t="shared" si="56"/>
        <v>7680</v>
      </c>
      <c r="S593" s="219">
        <f t="shared" si="57"/>
        <v>100</v>
      </c>
    </row>
    <row r="594" spans="2:19" x14ac:dyDescent="0.2">
      <c r="B594" s="78">
        <f t="shared" si="58"/>
        <v>21</v>
      </c>
      <c r="C594" s="3"/>
      <c r="D594" s="3"/>
      <c r="E594" s="3"/>
      <c r="F594" s="25" t="s">
        <v>203</v>
      </c>
      <c r="G594" s="3">
        <v>635</v>
      </c>
      <c r="H594" s="3" t="s">
        <v>145</v>
      </c>
      <c r="I594" s="18">
        <f>2000+12400+6500</f>
        <v>20900</v>
      </c>
      <c r="J594" s="18">
        <v>20900</v>
      </c>
      <c r="K594" s="218">
        <f t="shared" si="54"/>
        <v>100</v>
      </c>
      <c r="L594" s="279"/>
      <c r="M594" s="285"/>
      <c r="N594" s="18"/>
      <c r="O594" s="218"/>
      <c r="P594" s="279"/>
      <c r="Q594" s="285">
        <f t="shared" si="56"/>
        <v>20900</v>
      </c>
      <c r="R594" s="18">
        <f t="shared" si="56"/>
        <v>20900</v>
      </c>
      <c r="S594" s="219">
        <f t="shared" si="57"/>
        <v>100</v>
      </c>
    </row>
    <row r="595" spans="2:19" x14ac:dyDescent="0.2">
      <c r="B595" s="78">
        <f t="shared" si="58"/>
        <v>22</v>
      </c>
      <c r="C595" s="3"/>
      <c r="D595" s="3"/>
      <c r="E595" s="3"/>
      <c r="F595" s="25" t="s">
        <v>203</v>
      </c>
      <c r="G595" s="3">
        <v>636</v>
      </c>
      <c r="H595" s="3" t="s">
        <v>138</v>
      </c>
      <c r="I595" s="18">
        <v>7200</v>
      </c>
      <c r="J595" s="18">
        <v>7199</v>
      </c>
      <c r="K595" s="218">
        <f t="shared" si="54"/>
        <v>99.986111111111114</v>
      </c>
      <c r="L595" s="279"/>
      <c r="M595" s="285"/>
      <c r="N595" s="18"/>
      <c r="O595" s="218"/>
      <c r="P595" s="279"/>
      <c r="Q595" s="285">
        <f t="shared" si="56"/>
        <v>7200</v>
      </c>
      <c r="R595" s="18">
        <f t="shared" si="56"/>
        <v>7199</v>
      </c>
      <c r="S595" s="219">
        <f t="shared" si="57"/>
        <v>99.986111111111114</v>
      </c>
    </row>
    <row r="596" spans="2:19" x14ac:dyDescent="0.2">
      <c r="B596" s="78">
        <f t="shared" si="58"/>
        <v>23</v>
      </c>
      <c r="C596" s="3"/>
      <c r="D596" s="3"/>
      <c r="E596" s="3"/>
      <c r="F596" s="25" t="s">
        <v>203</v>
      </c>
      <c r="G596" s="3">
        <v>637</v>
      </c>
      <c r="H596" s="3" t="s">
        <v>134</v>
      </c>
      <c r="I596" s="18">
        <f>8350+200+85</f>
        <v>8635</v>
      </c>
      <c r="J596" s="18">
        <v>8636</v>
      </c>
      <c r="K596" s="218">
        <f t="shared" si="54"/>
        <v>100.01158077591199</v>
      </c>
      <c r="L596" s="279"/>
      <c r="M596" s="285"/>
      <c r="N596" s="18"/>
      <c r="O596" s="218"/>
      <c r="P596" s="279"/>
      <c r="Q596" s="285">
        <f t="shared" si="56"/>
        <v>8635</v>
      </c>
      <c r="R596" s="18">
        <f t="shared" si="56"/>
        <v>8636</v>
      </c>
      <c r="S596" s="219">
        <f t="shared" si="57"/>
        <v>100.01158077591199</v>
      </c>
    </row>
    <row r="597" spans="2:19" x14ac:dyDescent="0.2">
      <c r="B597" s="78">
        <f t="shared" si="58"/>
        <v>24</v>
      </c>
      <c r="C597" s="7"/>
      <c r="D597" s="7"/>
      <c r="E597" s="7"/>
      <c r="F597" s="24" t="s">
        <v>203</v>
      </c>
      <c r="G597" s="7">
        <v>640</v>
      </c>
      <c r="H597" s="7" t="s">
        <v>141</v>
      </c>
      <c r="I597" s="22">
        <v>5864</v>
      </c>
      <c r="J597" s="22">
        <v>5864</v>
      </c>
      <c r="K597" s="218">
        <f t="shared" si="54"/>
        <v>100</v>
      </c>
      <c r="L597" s="278"/>
      <c r="M597" s="284"/>
      <c r="N597" s="22"/>
      <c r="O597" s="218"/>
      <c r="P597" s="278"/>
      <c r="Q597" s="284">
        <f t="shared" si="56"/>
        <v>5864</v>
      </c>
      <c r="R597" s="22">
        <f t="shared" si="56"/>
        <v>5864</v>
      </c>
      <c r="S597" s="219">
        <f t="shared" si="57"/>
        <v>100</v>
      </c>
    </row>
    <row r="598" spans="2:19" x14ac:dyDescent="0.2">
      <c r="B598" s="78">
        <f t="shared" si="58"/>
        <v>25</v>
      </c>
      <c r="C598" s="7"/>
      <c r="D598" s="7"/>
      <c r="E598" s="7"/>
      <c r="F598" s="24" t="s">
        <v>203</v>
      </c>
      <c r="G598" s="7">
        <v>710</v>
      </c>
      <c r="H598" s="7" t="s">
        <v>188</v>
      </c>
      <c r="I598" s="22"/>
      <c r="J598" s="22"/>
      <c r="K598" s="218"/>
      <c r="L598" s="278"/>
      <c r="M598" s="284">
        <f>M599</f>
        <v>1235818</v>
      </c>
      <c r="N598" s="22">
        <f>N599</f>
        <v>1232180</v>
      </c>
      <c r="O598" s="218">
        <f t="shared" si="55"/>
        <v>99.705620083216147</v>
      </c>
      <c r="P598" s="278"/>
      <c r="Q598" s="284">
        <f t="shared" si="56"/>
        <v>1235818</v>
      </c>
      <c r="R598" s="22">
        <f t="shared" si="56"/>
        <v>1232180</v>
      </c>
      <c r="S598" s="219">
        <f t="shared" si="57"/>
        <v>99.705620083216147</v>
      </c>
    </row>
    <row r="599" spans="2:19" x14ac:dyDescent="0.2">
      <c r="B599" s="78">
        <f t="shared" si="58"/>
        <v>26</v>
      </c>
      <c r="C599" s="3"/>
      <c r="D599" s="3"/>
      <c r="E599" s="3"/>
      <c r="F599" s="25" t="s">
        <v>203</v>
      </c>
      <c r="G599" s="3">
        <v>717</v>
      </c>
      <c r="H599" s="3" t="s">
        <v>198</v>
      </c>
      <c r="I599" s="18"/>
      <c r="J599" s="18"/>
      <c r="K599" s="218"/>
      <c r="L599" s="279"/>
      <c r="M599" s="285">
        <f>M600</f>
        <v>1235818</v>
      </c>
      <c r="N599" s="18">
        <f>N600</f>
        <v>1232180</v>
      </c>
      <c r="O599" s="218">
        <f t="shared" si="55"/>
        <v>99.705620083216147</v>
      </c>
      <c r="P599" s="279"/>
      <c r="Q599" s="347">
        <f t="shared" si="56"/>
        <v>1235818</v>
      </c>
      <c r="R599" s="348">
        <f t="shared" si="56"/>
        <v>1232180</v>
      </c>
      <c r="S599" s="219">
        <f t="shared" si="57"/>
        <v>99.705620083216147</v>
      </c>
    </row>
    <row r="600" spans="2:19" x14ac:dyDescent="0.2">
      <c r="B600" s="78">
        <f t="shared" si="58"/>
        <v>27</v>
      </c>
      <c r="C600" s="4"/>
      <c r="D600" s="4"/>
      <c r="E600" s="4"/>
      <c r="F600" s="30"/>
      <c r="G600" s="4"/>
      <c r="H600" s="4" t="s">
        <v>365</v>
      </c>
      <c r="I600" s="20"/>
      <c r="J600" s="20"/>
      <c r="K600" s="218"/>
      <c r="L600" s="280"/>
      <c r="M600" s="286">
        <f>1253208+11640-5040-23990</f>
        <v>1235818</v>
      </c>
      <c r="N600" s="20">
        <f>172124+153859+810808+95389</f>
        <v>1232180</v>
      </c>
      <c r="O600" s="218">
        <f t="shared" si="55"/>
        <v>99.705620083216147</v>
      </c>
      <c r="P600" s="280"/>
      <c r="Q600" s="298">
        <f t="shared" si="56"/>
        <v>1235818</v>
      </c>
      <c r="R600" s="21">
        <f t="shared" si="56"/>
        <v>1232180</v>
      </c>
      <c r="S600" s="219">
        <f t="shared" si="57"/>
        <v>99.705620083216147</v>
      </c>
    </row>
    <row r="601" spans="2:19" ht="15" x14ac:dyDescent="0.25">
      <c r="B601" s="78">
        <f t="shared" si="58"/>
        <v>28</v>
      </c>
      <c r="C601" s="10"/>
      <c r="D601" s="10"/>
      <c r="E601" s="10">
        <v>4</v>
      </c>
      <c r="F601" s="27"/>
      <c r="G601" s="10"/>
      <c r="H601" s="10" t="s">
        <v>403</v>
      </c>
      <c r="I601" s="37">
        <f>I606+I615+I624+I636+I645+I654+I663+I675+I684+I697+I711+I723+I734+I742+I754+I602+I604</f>
        <v>3229954</v>
      </c>
      <c r="J601" s="37">
        <f>J606+J615+J624+J636+J645+J654+J663+J675+J684+J697+J711+J723+J734+J742+J754+J602+J604</f>
        <v>3221676</v>
      </c>
      <c r="K601" s="218">
        <f t="shared" si="54"/>
        <v>99.743711520349819</v>
      </c>
      <c r="L601" s="295"/>
      <c r="M601" s="299">
        <f>M606+M615+M624+M636+M645+M654+M663+M675+M684+M697+M711+M723+M734+M742+M754</f>
        <v>1927151</v>
      </c>
      <c r="N601" s="37">
        <f>N606+N615+N624+N636+N645+N654+N663+N675+N684+N697+N711+N723+N734+N742+N754</f>
        <v>1004040</v>
      </c>
      <c r="O601" s="218">
        <f t="shared" si="55"/>
        <v>52.099705731413884</v>
      </c>
      <c r="P601" s="295"/>
      <c r="Q601" s="299">
        <f t="shared" si="56"/>
        <v>5157105</v>
      </c>
      <c r="R601" s="37">
        <f t="shared" si="56"/>
        <v>4225716</v>
      </c>
      <c r="S601" s="219">
        <f t="shared" si="57"/>
        <v>81.939692909103073</v>
      </c>
    </row>
    <row r="602" spans="2:19" x14ac:dyDescent="0.2">
      <c r="B602" s="78">
        <f t="shared" si="58"/>
        <v>29</v>
      </c>
      <c r="C602" s="3"/>
      <c r="D602" s="3"/>
      <c r="E602" s="3"/>
      <c r="F602" s="24" t="s">
        <v>203</v>
      </c>
      <c r="G602" s="7">
        <v>630</v>
      </c>
      <c r="H602" s="7" t="s">
        <v>133</v>
      </c>
      <c r="I602" s="22">
        <f>I603</f>
        <v>311</v>
      </c>
      <c r="J602" s="22">
        <f>J603</f>
        <v>311</v>
      </c>
      <c r="K602" s="218">
        <f t="shared" si="54"/>
        <v>100</v>
      </c>
      <c r="L602" s="278"/>
      <c r="M602" s="285"/>
      <c r="N602" s="18"/>
      <c r="O602" s="218"/>
      <c r="P602" s="279"/>
      <c r="Q602" s="289">
        <f t="shared" si="56"/>
        <v>311</v>
      </c>
      <c r="R602" s="17">
        <f t="shared" si="56"/>
        <v>311</v>
      </c>
      <c r="S602" s="219">
        <f t="shared" si="57"/>
        <v>100</v>
      </c>
    </row>
    <row r="603" spans="2:19" x14ac:dyDescent="0.2">
      <c r="B603" s="78">
        <f t="shared" si="58"/>
        <v>30</v>
      </c>
      <c r="C603" s="3"/>
      <c r="D603" s="3"/>
      <c r="E603" s="3"/>
      <c r="F603" s="25" t="s">
        <v>203</v>
      </c>
      <c r="G603" s="3">
        <v>630</v>
      </c>
      <c r="H603" s="3" t="s">
        <v>574</v>
      </c>
      <c r="I603" s="18">
        <v>311</v>
      </c>
      <c r="J603" s="18">
        <v>311</v>
      </c>
      <c r="K603" s="218">
        <f t="shared" si="54"/>
        <v>100</v>
      </c>
      <c r="L603" s="279"/>
      <c r="M603" s="285"/>
      <c r="N603" s="18"/>
      <c r="O603" s="218"/>
      <c r="P603" s="279"/>
      <c r="Q603" s="285">
        <f t="shared" si="56"/>
        <v>311</v>
      </c>
      <c r="R603" s="18">
        <f t="shared" si="56"/>
        <v>311</v>
      </c>
      <c r="S603" s="219">
        <f t="shared" si="57"/>
        <v>100</v>
      </c>
    </row>
    <row r="604" spans="2:19" x14ac:dyDescent="0.2">
      <c r="B604" s="78">
        <f t="shared" si="58"/>
        <v>31</v>
      </c>
      <c r="C604" s="3"/>
      <c r="D604" s="3"/>
      <c r="E604" s="3"/>
      <c r="F604" s="29" t="s">
        <v>58</v>
      </c>
      <c r="G604" s="2">
        <v>640</v>
      </c>
      <c r="H604" s="2" t="s">
        <v>141</v>
      </c>
      <c r="I604" s="17">
        <f>I605</f>
        <v>880</v>
      </c>
      <c r="J604" s="17">
        <f>J605</f>
        <v>713</v>
      </c>
      <c r="K604" s="218">
        <f t="shared" si="54"/>
        <v>81.022727272727266</v>
      </c>
      <c r="L604" s="278"/>
      <c r="M604" s="289"/>
      <c r="N604" s="17"/>
      <c r="O604" s="218"/>
      <c r="P604" s="278"/>
      <c r="Q604" s="289">
        <f t="shared" si="56"/>
        <v>880</v>
      </c>
      <c r="R604" s="17">
        <f t="shared" si="56"/>
        <v>713</v>
      </c>
      <c r="S604" s="219">
        <f t="shared" si="57"/>
        <v>81.022727272727266</v>
      </c>
    </row>
    <row r="605" spans="2:19" x14ac:dyDescent="0.2">
      <c r="B605" s="78">
        <f t="shared" si="58"/>
        <v>32</v>
      </c>
      <c r="C605" s="3"/>
      <c r="D605" s="3"/>
      <c r="E605" s="3"/>
      <c r="F605" s="25" t="s">
        <v>58</v>
      </c>
      <c r="G605" s="3">
        <v>642</v>
      </c>
      <c r="H605" s="3" t="s">
        <v>647</v>
      </c>
      <c r="I605" s="18">
        <v>880</v>
      </c>
      <c r="J605" s="18">
        <v>713</v>
      </c>
      <c r="K605" s="218">
        <f t="shared" si="54"/>
        <v>81.022727272727266</v>
      </c>
      <c r="L605" s="279"/>
      <c r="M605" s="285"/>
      <c r="N605" s="18"/>
      <c r="O605" s="218"/>
      <c r="P605" s="279"/>
      <c r="Q605" s="285">
        <f t="shared" si="56"/>
        <v>880</v>
      </c>
      <c r="R605" s="18">
        <f t="shared" si="56"/>
        <v>713</v>
      </c>
      <c r="S605" s="219">
        <f t="shared" si="57"/>
        <v>81.022727272727266</v>
      </c>
    </row>
    <row r="606" spans="2:19" x14ac:dyDescent="0.2">
      <c r="B606" s="78">
        <f t="shared" si="58"/>
        <v>33</v>
      </c>
      <c r="C606" s="6"/>
      <c r="D606" s="6"/>
      <c r="E606" s="6" t="s">
        <v>101</v>
      </c>
      <c r="F606" s="28"/>
      <c r="G606" s="6"/>
      <c r="H606" s="6" t="s">
        <v>72</v>
      </c>
      <c r="I606" s="39">
        <f>I607+I608+I609+I614</f>
        <v>158369</v>
      </c>
      <c r="J606" s="39">
        <f>J607+J608+J609+J614</f>
        <v>157648</v>
      </c>
      <c r="K606" s="218">
        <f t="shared" si="54"/>
        <v>99.544734133574124</v>
      </c>
      <c r="L606" s="278"/>
      <c r="M606" s="343">
        <v>0</v>
      </c>
      <c r="N606" s="39">
        <v>0</v>
      </c>
      <c r="O606" s="218"/>
      <c r="P606" s="278"/>
      <c r="Q606" s="343">
        <f t="shared" si="56"/>
        <v>158369</v>
      </c>
      <c r="R606" s="39">
        <f t="shared" si="56"/>
        <v>157648</v>
      </c>
      <c r="S606" s="219">
        <f t="shared" si="57"/>
        <v>99.544734133574124</v>
      </c>
    </row>
    <row r="607" spans="2:19" x14ac:dyDescent="0.2">
      <c r="B607" s="78">
        <f t="shared" si="58"/>
        <v>34</v>
      </c>
      <c r="C607" s="7"/>
      <c r="D607" s="7"/>
      <c r="E607" s="7"/>
      <c r="F607" s="24" t="s">
        <v>203</v>
      </c>
      <c r="G607" s="7">
        <v>610</v>
      </c>
      <c r="H607" s="7" t="s">
        <v>143</v>
      </c>
      <c r="I607" s="22">
        <f>87139+5602-1093</f>
        <v>91648</v>
      </c>
      <c r="J607" s="22">
        <v>91648</v>
      </c>
      <c r="K607" s="218">
        <f t="shared" si="54"/>
        <v>100</v>
      </c>
      <c r="L607" s="278"/>
      <c r="M607" s="284"/>
      <c r="N607" s="22"/>
      <c r="O607" s="218"/>
      <c r="P607" s="278"/>
      <c r="Q607" s="284">
        <f t="shared" si="56"/>
        <v>91648</v>
      </c>
      <c r="R607" s="22">
        <f t="shared" si="56"/>
        <v>91648</v>
      </c>
      <c r="S607" s="219">
        <f t="shared" si="57"/>
        <v>100</v>
      </c>
    </row>
    <row r="608" spans="2:19" x14ac:dyDescent="0.2">
      <c r="B608" s="78">
        <f t="shared" si="58"/>
        <v>35</v>
      </c>
      <c r="C608" s="7"/>
      <c r="D608" s="7"/>
      <c r="E608" s="7"/>
      <c r="F608" s="24" t="s">
        <v>203</v>
      </c>
      <c r="G608" s="7">
        <v>620</v>
      </c>
      <c r="H608" s="7" t="s">
        <v>136</v>
      </c>
      <c r="I608" s="22">
        <f>33362+2070-273</f>
        <v>35159</v>
      </c>
      <c r="J608" s="22">
        <v>35159</v>
      </c>
      <c r="K608" s="218">
        <f t="shared" si="54"/>
        <v>100</v>
      </c>
      <c r="L608" s="278"/>
      <c r="M608" s="284"/>
      <c r="N608" s="22"/>
      <c r="O608" s="218"/>
      <c r="P608" s="278"/>
      <c r="Q608" s="284">
        <f t="shared" si="56"/>
        <v>35159</v>
      </c>
      <c r="R608" s="22">
        <f t="shared" si="56"/>
        <v>35159</v>
      </c>
      <c r="S608" s="219">
        <f t="shared" si="57"/>
        <v>100</v>
      </c>
    </row>
    <row r="609" spans="2:19" x14ac:dyDescent="0.2">
      <c r="B609" s="78">
        <f t="shared" si="58"/>
        <v>36</v>
      </c>
      <c r="C609" s="7"/>
      <c r="D609" s="7"/>
      <c r="E609" s="7"/>
      <c r="F609" s="24" t="s">
        <v>203</v>
      </c>
      <c r="G609" s="7">
        <v>630</v>
      </c>
      <c r="H609" s="7" t="s">
        <v>133</v>
      </c>
      <c r="I609" s="22">
        <f>SUM(I610:I613)</f>
        <v>27948</v>
      </c>
      <c r="J609" s="22">
        <f>SUM(J610:J613)</f>
        <v>27227</v>
      </c>
      <c r="K609" s="218">
        <f t="shared" si="54"/>
        <v>97.420208959496208</v>
      </c>
      <c r="L609" s="278"/>
      <c r="M609" s="284"/>
      <c r="N609" s="22"/>
      <c r="O609" s="218"/>
      <c r="P609" s="278"/>
      <c r="Q609" s="284">
        <f t="shared" si="56"/>
        <v>27948</v>
      </c>
      <c r="R609" s="22">
        <f t="shared" si="56"/>
        <v>27227</v>
      </c>
      <c r="S609" s="219">
        <f t="shared" si="57"/>
        <v>97.420208959496208</v>
      </c>
    </row>
    <row r="610" spans="2:19" x14ac:dyDescent="0.2">
      <c r="B610" s="78">
        <f t="shared" si="58"/>
        <v>37</v>
      </c>
      <c r="C610" s="3"/>
      <c r="D610" s="3"/>
      <c r="E610" s="3"/>
      <c r="F610" s="25" t="s">
        <v>203</v>
      </c>
      <c r="G610" s="3">
        <v>632</v>
      </c>
      <c r="H610" s="3" t="s">
        <v>146</v>
      </c>
      <c r="I610" s="18">
        <f>15100-1400</f>
        <v>13700</v>
      </c>
      <c r="J610" s="18">
        <v>13680</v>
      </c>
      <c r="K610" s="218">
        <f t="shared" si="54"/>
        <v>99.854014598540147</v>
      </c>
      <c r="L610" s="279"/>
      <c r="M610" s="285"/>
      <c r="N610" s="18"/>
      <c r="O610" s="218"/>
      <c r="P610" s="279"/>
      <c r="Q610" s="285">
        <f t="shared" si="56"/>
        <v>13700</v>
      </c>
      <c r="R610" s="18">
        <f t="shared" si="56"/>
        <v>13680</v>
      </c>
      <c r="S610" s="219">
        <f t="shared" si="57"/>
        <v>99.854014598540147</v>
      </c>
    </row>
    <row r="611" spans="2:19" x14ac:dyDescent="0.2">
      <c r="B611" s="78">
        <f t="shared" si="58"/>
        <v>38</v>
      </c>
      <c r="C611" s="3"/>
      <c r="D611" s="3"/>
      <c r="E611" s="3"/>
      <c r="F611" s="25" t="s">
        <v>203</v>
      </c>
      <c r="G611" s="3">
        <v>633</v>
      </c>
      <c r="H611" s="3" t="s">
        <v>137</v>
      </c>
      <c r="I611" s="18">
        <f>6536+1802+1395</f>
        <v>9733</v>
      </c>
      <c r="J611" s="18">
        <v>9033</v>
      </c>
      <c r="K611" s="218">
        <f t="shared" si="54"/>
        <v>92.80797287578342</v>
      </c>
      <c r="L611" s="279"/>
      <c r="M611" s="285"/>
      <c r="N611" s="18"/>
      <c r="O611" s="218"/>
      <c r="P611" s="279"/>
      <c r="Q611" s="285">
        <f t="shared" si="56"/>
        <v>9733</v>
      </c>
      <c r="R611" s="18">
        <f t="shared" si="56"/>
        <v>9033</v>
      </c>
      <c r="S611" s="219">
        <f t="shared" si="57"/>
        <v>92.80797287578342</v>
      </c>
    </row>
    <row r="612" spans="2:19" x14ac:dyDescent="0.2">
      <c r="B612" s="78">
        <f t="shared" si="58"/>
        <v>39</v>
      </c>
      <c r="C612" s="3"/>
      <c r="D612" s="3"/>
      <c r="E612" s="3"/>
      <c r="F612" s="25" t="s">
        <v>203</v>
      </c>
      <c r="G612" s="3">
        <v>635</v>
      </c>
      <c r="H612" s="3" t="s">
        <v>145</v>
      </c>
      <c r="I612" s="18">
        <v>1700</v>
      </c>
      <c r="J612" s="18">
        <v>1700</v>
      </c>
      <c r="K612" s="218">
        <f t="shared" si="54"/>
        <v>100</v>
      </c>
      <c r="L612" s="279"/>
      <c r="M612" s="285"/>
      <c r="N612" s="18"/>
      <c r="O612" s="218"/>
      <c r="P612" s="279"/>
      <c r="Q612" s="285">
        <f t="shared" si="56"/>
        <v>1700</v>
      </c>
      <c r="R612" s="18">
        <f t="shared" si="56"/>
        <v>1700</v>
      </c>
      <c r="S612" s="219">
        <f t="shared" si="57"/>
        <v>100</v>
      </c>
    </row>
    <row r="613" spans="2:19" x14ac:dyDescent="0.2">
      <c r="B613" s="78">
        <f t="shared" si="58"/>
        <v>40</v>
      </c>
      <c r="C613" s="3"/>
      <c r="D613" s="3"/>
      <c r="E613" s="3"/>
      <c r="F613" s="25" t="s">
        <v>203</v>
      </c>
      <c r="G613" s="3">
        <v>637</v>
      </c>
      <c r="H613" s="3" t="s">
        <v>134</v>
      </c>
      <c r="I613" s="18">
        <f>2740+75</f>
        <v>2815</v>
      </c>
      <c r="J613" s="18">
        <v>2814</v>
      </c>
      <c r="K613" s="218">
        <f t="shared" si="54"/>
        <v>99.964476021314383</v>
      </c>
      <c r="L613" s="279"/>
      <c r="M613" s="285"/>
      <c r="N613" s="18"/>
      <c r="O613" s="218"/>
      <c r="P613" s="279"/>
      <c r="Q613" s="285">
        <f t="shared" si="56"/>
        <v>2815</v>
      </c>
      <c r="R613" s="18">
        <f t="shared" si="56"/>
        <v>2814</v>
      </c>
      <c r="S613" s="219">
        <f t="shared" si="57"/>
        <v>99.964476021314383</v>
      </c>
    </row>
    <row r="614" spans="2:19" x14ac:dyDescent="0.2">
      <c r="B614" s="78">
        <f t="shared" si="58"/>
        <v>41</v>
      </c>
      <c r="C614" s="7"/>
      <c r="D614" s="7"/>
      <c r="E614" s="7"/>
      <c r="F614" s="24" t="s">
        <v>203</v>
      </c>
      <c r="G614" s="7">
        <v>640</v>
      </c>
      <c r="H614" s="7" t="s">
        <v>141</v>
      </c>
      <c r="I614" s="22">
        <v>3614</v>
      </c>
      <c r="J614" s="22">
        <v>3614</v>
      </c>
      <c r="K614" s="218">
        <f t="shared" si="54"/>
        <v>100</v>
      </c>
      <c r="L614" s="278"/>
      <c r="M614" s="284"/>
      <c r="N614" s="22"/>
      <c r="O614" s="218"/>
      <c r="P614" s="278"/>
      <c r="Q614" s="284">
        <f t="shared" si="56"/>
        <v>3614</v>
      </c>
      <c r="R614" s="22">
        <f t="shared" si="56"/>
        <v>3614</v>
      </c>
      <c r="S614" s="219">
        <f t="shared" si="57"/>
        <v>100</v>
      </c>
    </row>
    <row r="615" spans="2:19" x14ac:dyDescent="0.2">
      <c r="B615" s="78">
        <f t="shared" si="58"/>
        <v>42</v>
      </c>
      <c r="C615" s="6"/>
      <c r="D615" s="6"/>
      <c r="E615" s="6" t="s">
        <v>100</v>
      </c>
      <c r="F615" s="28"/>
      <c r="G615" s="6"/>
      <c r="H615" s="6" t="s">
        <v>240</v>
      </c>
      <c r="I615" s="39">
        <f>I616+I617+I618+I623</f>
        <v>286026</v>
      </c>
      <c r="J615" s="39">
        <f>J616+J617+J618+J623</f>
        <v>286025</v>
      </c>
      <c r="K615" s="218">
        <f t="shared" si="54"/>
        <v>99.999650381433852</v>
      </c>
      <c r="L615" s="278"/>
      <c r="M615" s="343">
        <v>0</v>
      </c>
      <c r="N615" s="39">
        <v>0</v>
      </c>
      <c r="O615" s="218"/>
      <c r="P615" s="278"/>
      <c r="Q615" s="343">
        <f t="shared" si="56"/>
        <v>286026</v>
      </c>
      <c r="R615" s="39">
        <f t="shared" si="56"/>
        <v>286025</v>
      </c>
      <c r="S615" s="219">
        <f t="shared" si="57"/>
        <v>99.999650381433852</v>
      </c>
    </row>
    <row r="616" spans="2:19" x14ac:dyDescent="0.2">
      <c r="B616" s="78">
        <f t="shared" si="58"/>
        <v>43</v>
      </c>
      <c r="C616" s="7"/>
      <c r="D616" s="7"/>
      <c r="E616" s="7"/>
      <c r="F616" s="24" t="s">
        <v>203</v>
      </c>
      <c r="G616" s="7">
        <v>610</v>
      </c>
      <c r="H616" s="7" t="s">
        <v>143</v>
      </c>
      <c r="I616" s="22">
        <f>154811+10432-3084</f>
        <v>162159</v>
      </c>
      <c r="J616" s="22">
        <v>162159</v>
      </c>
      <c r="K616" s="218">
        <f t="shared" si="54"/>
        <v>100</v>
      </c>
      <c r="L616" s="278"/>
      <c r="M616" s="284"/>
      <c r="N616" s="22"/>
      <c r="O616" s="218"/>
      <c r="P616" s="278"/>
      <c r="Q616" s="284">
        <f t="shared" si="56"/>
        <v>162159</v>
      </c>
      <c r="R616" s="22">
        <f t="shared" si="56"/>
        <v>162159</v>
      </c>
      <c r="S616" s="219">
        <f t="shared" si="57"/>
        <v>100</v>
      </c>
    </row>
    <row r="617" spans="2:19" x14ac:dyDescent="0.2">
      <c r="B617" s="78">
        <f t="shared" si="58"/>
        <v>44</v>
      </c>
      <c r="C617" s="7"/>
      <c r="D617" s="7"/>
      <c r="E617" s="7"/>
      <c r="F617" s="24" t="s">
        <v>203</v>
      </c>
      <c r="G617" s="7">
        <v>620</v>
      </c>
      <c r="H617" s="7" t="s">
        <v>136</v>
      </c>
      <c r="I617" s="22">
        <f>60222+3855-1086</f>
        <v>62991</v>
      </c>
      <c r="J617" s="22">
        <v>62991</v>
      </c>
      <c r="K617" s="218">
        <f t="shared" si="54"/>
        <v>100</v>
      </c>
      <c r="L617" s="278"/>
      <c r="M617" s="284"/>
      <c r="N617" s="22"/>
      <c r="O617" s="218"/>
      <c r="P617" s="278"/>
      <c r="Q617" s="284">
        <f t="shared" si="56"/>
        <v>62991</v>
      </c>
      <c r="R617" s="22">
        <f t="shared" si="56"/>
        <v>62991</v>
      </c>
      <c r="S617" s="219">
        <f t="shared" si="57"/>
        <v>100</v>
      </c>
    </row>
    <row r="618" spans="2:19" x14ac:dyDescent="0.2">
      <c r="B618" s="78">
        <f t="shared" si="58"/>
        <v>45</v>
      </c>
      <c r="C618" s="7"/>
      <c r="D618" s="7"/>
      <c r="E618" s="7"/>
      <c r="F618" s="24" t="s">
        <v>203</v>
      </c>
      <c r="G618" s="7">
        <v>630</v>
      </c>
      <c r="H618" s="7" t="s">
        <v>133</v>
      </c>
      <c r="I618" s="22">
        <f>SUM(I619:I622)</f>
        <v>55907</v>
      </c>
      <c r="J618" s="22">
        <f>SUM(J619:J622)</f>
        <v>55906</v>
      </c>
      <c r="K618" s="218">
        <f t="shared" si="54"/>
        <v>99.998211315219919</v>
      </c>
      <c r="L618" s="278"/>
      <c r="M618" s="284"/>
      <c r="N618" s="22"/>
      <c r="O618" s="218"/>
      <c r="P618" s="278"/>
      <c r="Q618" s="284">
        <f t="shared" si="56"/>
        <v>55907</v>
      </c>
      <c r="R618" s="22">
        <f t="shared" si="56"/>
        <v>55906</v>
      </c>
      <c r="S618" s="219">
        <f t="shared" si="57"/>
        <v>99.998211315219919</v>
      </c>
    </row>
    <row r="619" spans="2:19" x14ac:dyDescent="0.2">
      <c r="B619" s="78">
        <f t="shared" si="58"/>
        <v>46</v>
      </c>
      <c r="C619" s="3"/>
      <c r="D619" s="3"/>
      <c r="E619" s="3"/>
      <c r="F619" s="25" t="s">
        <v>203</v>
      </c>
      <c r="G619" s="3">
        <v>632</v>
      </c>
      <c r="H619" s="3" t="s">
        <v>146</v>
      </c>
      <c r="I619" s="18">
        <f>36700-9641</f>
        <v>27059</v>
      </c>
      <c r="J619" s="18">
        <v>27059</v>
      </c>
      <c r="K619" s="218">
        <f t="shared" si="54"/>
        <v>100</v>
      </c>
      <c r="L619" s="279"/>
      <c r="M619" s="285"/>
      <c r="N619" s="18"/>
      <c r="O619" s="218"/>
      <c r="P619" s="279"/>
      <c r="Q619" s="285">
        <f t="shared" si="56"/>
        <v>27059</v>
      </c>
      <c r="R619" s="18">
        <f t="shared" si="56"/>
        <v>27059</v>
      </c>
      <c r="S619" s="219">
        <f t="shared" si="57"/>
        <v>100</v>
      </c>
    </row>
    <row r="620" spans="2:19" x14ac:dyDescent="0.2">
      <c r="B620" s="78">
        <f t="shared" si="58"/>
        <v>47</v>
      </c>
      <c r="C620" s="3"/>
      <c r="D620" s="3"/>
      <c r="E620" s="3"/>
      <c r="F620" s="25" t="s">
        <v>203</v>
      </c>
      <c r="G620" s="3">
        <v>633</v>
      </c>
      <c r="H620" s="3" t="s">
        <v>137</v>
      </c>
      <c r="I620" s="18">
        <f>14399+4557-268</f>
        <v>18688</v>
      </c>
      <c r="J620" s="18">
        <v>18688</v>
      </c>
      <c r="K620" s="218">
        <f t="shared" si="54"/>
        <v>100</v>
      </c>
      <c r="L620" s="279"/>
      <c r="M620" s="285"/>
      <c r="N620" s="18"/>
      <c r="O620" s="218"/>
      <c r="P620" s="279"/>
      <c r="Q620" s="285">
        <f t="shared" si="56"/>
        <v>18688</v>
      </c>
      <c r="R620" s="18">
        <f t="shared" si="56"/>
        <v>18688</v>
      </c>
      <c r="S620" s="219">
        <f t="shared" si="57"/>
        <v>100</v>
      </c>
    </row>
    <row r="621" spans="2:19" x14ac:dyDescent="0.2">
      <c r="B621" s="78">
        <f t="shared" si="58"/>
        <v>48</v>
      </c>
      <c r="C621" s="3"/>
      <c r="D621" s="3"/>
      <c r="E621" s="3"/>
      <c r="F621" s="25" t="s">
        <v>203</v>
      </c>
      <c r="G621" s="3">
        <v>635</v>
      </c>
      <c r="H621" s="3" t="s">
        <v>145</v>
      </c>
      <c r="I621" s="18">
        <v>5000</v>
      </c>
      <c r="J621" s="18">
        <v>5000</v>
      </c>
      <c r="K621" s="218">
        <f t="shared" si="54"/>
        <v>100</v>
      </c>
      <c r="L621" s="279"/>
      <c r="M621" s="285"/>
      <c r="N621" s="18"/>
      <c r="O621" s="218"/>
      <c r="P621" s="279"/>
      <c r="Q621" s="285">
        <f t="shared" si="56"/>
        <v>5000</v>
      </c>
      <c r="R621" s="18">
        <f t="shared" si="56"/>
        <v>5000</v>
      </c>
      <c r="S621" s="219">
        <f t="shared" si="57"/>
        <v>100</v>
      </c>
    </row>
    <row r="622" spans="2:19" x14ac:dyDescent="0.2">
      <c r="B622" s="78">
        <f t="shared" si="58"/>
        <v>49</v>
      </c>
      <c r="C622" s="3"/>
      <c r="D622" s="3"/>
      <c r="E622" s="3"/>
      <c r="F622" s="25" t="s">
        <v>203</v>
      </c>
      <c r="G622" s="3">
        <v>637</v>
      </c>
      <c r="H622" s="3" t="s">
        <v>134</v>
      </c>
      <c r="I622" s="18">
        <f>5060+100</f>
        <v>5160</v>
      </c>
      <c r="J622" s="18">
        <v>5159</v>
      </c>
      <c r="K622" s="218">
        <f t="shared" si="54"/>
        <v>99.980620155038764</v>
      </c>
      <c r="L622" s="279"/>
      <c r="M622" s="285"/>
      <c r="N622" s="18"/>
      <c r="O622" s="218"/>
      <c r="P622" s="279"/>
      <c r="Q622" s="285">
        <f t="shared" si="56"/>
        <v>5160</v>
      </c>
      <c r="R622" s="18">
        <f t="shared" si="56"/>
        <v>5159</v>
      </c>
      <c r="S622" s="219">
        <f t="shared" si="57"/>
        <v>99.980620155038764</v>
      </c>
    </row>
    <row r="623" spans="2:19" x14ac:dyDescent="0.2">
      <c r="B623" s="78">
        <f t="shared" si="58"/>
        <v>50</v>
      </c>
      <c r="C623" s="7"/>
      <c r="D623" s="7"/>
      <c r="E623" s="7"/>
      <c r="F623" s="24" t="s">
        <v>203</v>
      </c>
      <c r="G623" s="7">
        <v>640</v>
      </c>
      <c r="H623" s="7" t="s">
        <v>141</v>
      </c>
      <c r="I623" s="22">
        <f>8441-3472</f>
        <v>4969</v>
      </c>
      <c r="J623" s="22">
        <v>4969</v>
      </c>
      <c r="K623" s="218">
        <f t="shared" si="54"/>
        <v>100</v>
      </c>
      <c r="L623" s="278"/>
      <c r="M623" s="284"/>
      <c r="N623" s="22"/>
      <c r="O623" s="218"/>
      <c r="P623" s="278"/>
      <c r="Q623" s="284">
        <f t="shared" si="56"/>
        <v>4969</v>
      </c>
      <c r="R623" s="22">
        <f t="shared" si="56"/>
        <v>4969</v>
      </c>
      <c r="S623" s="219">
        <f t="shared" si="57"/>
        <v>100</v>
      </c>
    </row>
    <row r="624" spans="2:19" x14ac:dyDescent="0.2">
      <c r="B624" s="78">
        <f t="shared" si="58"/>
        <v>51</v>
      </c>
      <c r="C624" s="6"/>
      <c r="D624" s="6"/>
      <c r="E624" s="6" t="s">
        <v>93</v>
      </c>
      <c r="F624" s="28"/>
      <c r="G624" s="6"/>
      <c r="H624" s="6" t="s">
        <v>71</v>
      </c>
      <c r="I624" s="39">
        <f>I625+I626+I627+I632</f>
        <v>153326</v>
      </c>
      <c r="J624" s="39">
        <f>J625+J626+J627+J632</f>
        <v>153197</v>
      </c>
      <c r="K624" s="218">
        <f t="shared" si="54"/>
        <v>99.915865541395448</v>
      </c>
      <c r="L624" s="278"/>
      <c r="M624" s="343">
        <f>M633</f>
        <v>14300</v>
      </c>
      <c r="N624" s="39">
        <f>N633</f>
        <v>14280</v>
      </c>
      <c r="O624" s="218">
        <f t="shared" si="55"/>
        <v>99.860139860139867</v>
      </c>
      <c r="P624" s="278"/>
      <c r="Q624" s="343">
        <f t="shared" si="56"/>
        <v>167626</v>
      </c>
      <c r="R624" s="39">
        <f t="shared" si="56"/>
        <v>167477</v>
      </c>
      <c r="S624" s="219">
        <f t="shared" si="57"/>
        <v>99.911111641392154</v>
      </c>
    </row>
    <row r="625" spans="2:19" x14ac:dyDescent="0.2">
      <c r="B625" s="78">
        <f t="shared" si="58"/>
        <v>52</v>
      </c>
      <c r="C625" s="7"/>
      <c r="D625" s="7"/>
      <c r="E625" s="7"/>
      <c r="F625" s="24" t="s">
        <v>203</v>
      </c>
      <c r="G625" s="7">
        <v>610</v>
      </c>
      <c r="H625" s="7" t="s">
        <v>143</v>
      </c>
      <c r="I625" s="22">
        <f>86333+5222-1749</f>
        <v>89806</v>
      </c>
      <c r="J625" s="22">
        <v>89806</v>
      </c>
      <c r="K625" s="218">
        <f t="shared" si="54"/>
        <v>100</v>
      </c>
      <c r="L625" s="278"/>
      <c r="M625" s="284"/>
      <c r="N625" s="22"/>
      <c r="O625" s="218"/>
      <c r="P625" s="278"/>
      <c r="Q625" s="284">
        <f t="shared" si="56"/>
        <v>89806</v>
      </c>
      <c r="R625" s="22">
        <f t="shared" si="56"/>
        <v>89806</v>
      </c>
      <c r="S625" s="219">
        <f t="shared" si="57"/>
        <v>100</v>
      </c>
    </row>
    <row r="626" spans="2:19" x14ac:dyDescent="0.2">
      <c r="B626" s="78">
        <f t="shared" si="58"/>
        <v>53</v>
      </c>
      <c r="C626" s="7"/>
      <c r="D626" s="7"/>
      <c r="E626" s="7"/>
      <c r="F626" s="24" t="s">
        <v>203</v>
      </c>
      <c r="G626" s="7">
        <v>620</v>
      </c>
      <c r="H626" s="7" t="s">
        <v>136</v>
      </c>
      <c r="I626" s="22">
        <f>31793+1930-611</f>
        <v>33112</v>
      </c>
      <c r="J626" s="22">
        <v>33112</v>
      </c>
      <c r="K626" s="218">
        <f t="shared" si="54"/>
        <v>100</v>
      </c>
      <c r="L626" s="278"/>
      <c r="M626" s="284"/>
      <c r="N626" s="22"/>
      <c r="O626" s="218"/>
      <c r="P626" s="278"/>
      <c r="Q626" s="284">
        <f t="shared" si="56"/>
        <v>33112</v>
      </c>
      <c r="R626" s="22">
        <f t="shared" si="56"/>
        <v>33112</v>
      </c>
      <c r="S626" s="219">
        <f t="shared" si="57"/>
        <v>100</v>
      </c>
    </row>
    <row r="627" spans="2:19" x14ac:dyDescent="0.2">
      <c r="B627" s="78">
        <f t="shared" si="58"/>
        <v>54</v>
      </c>
      <c r="C627" s="7"/>
      <c r="D627" s="7"/>
      <c r="E627" s="7"/>
      <c r="F627" s="24" t="s">
        <v>203</v>
      </c>
      <c r="G627" s="7">
        <v>630</v>
      </c>
      <c r="H627" s="7" t="s">
        <v>133</v>
      </c>
      <c r="I627" s="22">
        <f>SUM(I628:I631)</f>
        <v>30244</v>
      </c>
      <c r="J627" s="22">
        <f>SUM(J628:J631)</f>
        <v>30115</v>
      </c>
      <c r="K627" s="218">
        <f t="shared" si="54"/>
        <v>99.573469117841555</v>
      </c>
      <c r="L627" s="278"/>
      <c r="M627" s="284"/>
      <c r="N627" s="22"/>
      <c r="O627" s="218"/>
      <c r="P627" s="278"/>
      <c r="Q627" s="284">
        <f t="shared" si="56"/>
        <v>30244</v>
      </c>
      <c r="R627" s="22">
        <f t="shared" si="56"/>
        <v>30115</v>
      </c>
      <c r="S627" s="219">
        <f t="shared" si="57"/>
        <v>99.573469117841555</v>
      </c>
    </row>
    <row r="628" spans="2:19" x14ac:dyDescent="0.2">
      <c r="B628" s="78">
        <f t="shared" si="58"/>
        <v>55</v>
      </c>
      <c r="C628" s="3"/>
      <c r="D628" s="3"/>
      <c r="E628" s="3"/>
      <c r="F628" s="25" t="s">
        <v>203</v>
      </c>
      <c r="G628" s="3">
        <v>632</v>
      </c>
      <c r="H628" s="3" t="s">
        <v>146</v>
      </c>
      <c r="I628" s="18">
        <f>18320-2000</f>
        <v>16320</v>
      </c>
      <c r="J628" s="18">
        <v>16320</v>
      </c>
      <c r="K628" s="218">
        <f t="shared" si="54"/>
        <v>100</v>
      </c>
      <c r="L628" s="279"/>
      <c r="M628" s="285"/>
      <c r="N628" s="18"/>
      <c r="O628" s="218"/>
      <c r="P628" s="279"/>
      <c r="Q628" s="285">
        <f t="shared" si="56"/>
        <v>16320</v>
      </c>
      <c r="R628" s="18">
        <f t="shared" si="56"/>
        <v>16320</v>
      </c>
      <c r="S628" s="219">
        <f t="shared" si="57"/>
        <v>100</v>
      </c>
    </row>
    <row r="629" spans="2:19" x14ac:dyDescent="0.2">
      <c r="B629" s="78">
        <f t="shared" si="58"/>
        <v>56</v>
      </c>
      <c r="C629" s="3"/>
      <c r="D629" s="3"/>
      <c r="E629" s="3"/>
      <c r="F629" s="25" t="s">
        <v>203</v>
      </c>
      <c r="G629" s="3">
        <v>633</v>
      </c>
      <c r="H629" s="3" t="s">
        <v>137</v>
      </c>
      <c r="I629" s="18">
        <f>9424+2360-5000+4436</f>
        <v>11220</v>
      </c>
      <c r="J629" s="18">
        <v>11092</v>
      </c>
      <c r="K629" s="218">
        <f t="shared" si="54"/>
        <v>98.859180035650624</v>
      </c>
      <c r="L629" s="279"/>
      <c r="M629" s="285"/>
      <c r="N629" s="18"/>
      <c r="O629" s="218"/>
      <c r="P629" s="279"/>
      <c r="Q629" s="285">
        <f t="shared" si="56"/>
        <v>11220</v>
      </c>
      <c r="R629" s="18">
        <f t="shared" si="56"/>
        <v>11092</v>
      </c>
      <c r="S629" s="219">
        <f t="shared" si="57"/>
        <v>98.859180035650624</v>
      </c>
    </row>
    <row r="630" spans="2:19" x14ac:dyDescent="0.2">
      <c r="B630" s="78">
        <f t="shared" si="58"/>
        <v>57</v>
      </c>
      <c r="C630" s="3"/>
      <c r="D630" s="3"/>
      <c r="E630" s="3"/>
      <c r="F630" s="25" t="s">
        <v>203</v>
      </c>
      <c r="G630" s="3">
        <v>635</v>
      </c>
      <c r="H630" s="3" t="s">
        <v>145</v>
      </c>
      <c r="I630" s="18">
        <f>6300+3000-6700-2456</f>
        <v>144</v>
      </c>
      <c r="J630" s="18">
        <v>144</v>
      </c>
      <c r="K630" s="218">
        <f t="shared" si="54"/>
        <v>100</v>
      </c>
      <c r="L630" s="279"/>
      <c r="M630" s="285"/>
      <c r="N630" s="18"/>
      <c r="O630" s="218"/>
      <c r="P630" s="279"/>
      <c r="Q630" s="285">
        <f t="shared" si="56"/>
        <v>144</v>
      </c>
      <c r="R630" s="18">
        <f t="shared" si="56"/>
        <v>144</v>
      </c>
      <c r="S630" s="219">
        <f t="shared" si="57"/>
        <v>100</v>
      </c>
    </row>
    <row r="631" spans="2:19" x14ac:dyDescent="0.2">
      <c r="B631" s="78">
        <f t="shared" si="58"/>
        <v>58</v>
      </c>
      <c r="C631" s="3"/>
      <c r="D631" s="3"/>
      <c r="E631" s="3"/>
      <c r="F631" s="25" t="s">
        <v>203</v>
      </c>
      <c r="G631" s="3">
        <v>637</v>
      </c>
      <c r="H631" s="3" t="s">
        <v>134</v>
      </c>
      <c r="I631" s="18">
        <f>2480+80</f>
        <v>2560</v>
      </c>
      <c r="J631" s="18">
        <v>2559</v>
      </c>
      <c r="K631" s="218">
        <f t="shared" si="54"/>
        <v>99.9609375</v>
      </c>
      <c r="L631" s="279"/>
      <c r="M631" s="285"/>
      <c r="N631" s="18"/>
      <c r="O631" s="218"/>
      <c r="P631" s="279"/>
      <c r="Q631" s="285">
        <f t="shared" si="56"/>
        <v>2560</v>
      </c>
      <c r="R631" s="18">
        <f t="shared" si="56"/>
        <v>2559</v>
      </c>
      <c r="S631" s="219">
        <f t="shared" si="57"/>
        <v>99.9609375</v>
      </c>
    </row>
    <row r="632" spans="2:19" x14ac:dyDescent="0.2">
      <c r="B632" s="78">
        <f t="shared" si="58"/>
        <v>59</v>
      </c>
      <c r="C632" s="3"/>
      <c r="D632" s="3"/>
      <c r="E632" s="3"/>
      <c r="F632" s="24" t="s">
        <v>203</v>
      </c>
      <c r="G632" s="7">
        <v>640</v>
      </c>
      <c r="H632" s="7" t="s">
        <v>141</v>
      </c>
      <c r="I632" s="22">
        <v>164</v>
      </c>
      <c r="J632" s="22">
        <v>164</v>
      </c>
      <c r="K632" s="218">
        <f t="shared" si="54"/>
        <v>100</v>
      </c>
      <c r="L632" s="278"/>
      <c r="M632" s="284"/>
      <c r="N632" s="22"/>
      <c r="O632" s="218"/>
      <c r="P632" s="278"/>
      <c r="Q632" s="284">
        <f t="shared" si="56"/>
        <v>164</v>
      </c>
      <c r="R632" s="22">
        <f t="shared" si="56"/>
        <v>164</v>
      </c>
      <c r="S632" s="219">
        <f t="shared" si="57"/>
        <v>100</v>
      </c>
    </row>
    <row r="633" spans="2:19" x14ac:dyDescent="0.2">
      <c r="B633" s="78">
        <f t="shared" si="58"/>
        <v>60</v>
      </c>
      <c r="C633" s="3"/>
      <c r="D633" s="3"/>
      <c r="E633" s="3"/>
      <c r="F633" s="24" t="s">
        <v>203</v>
      </c>
      <c r="G633" s="7">
        <v>710</v>
      </c>
      <c r="H633" s="179" t="s">
        <v>188</v>
      </c>
      <c r="I633" s="22"/>
      <c r="J633" s="22"/>
      <c r="K633" s="218"/>
      <c r="L633" s="278"/>
      <c r="M633" s="284">
        <f>M634</f>
        <v>14300</v>
      </c>
      <c r="N633" s="22">
        <f>N634</f>
        <v>14280</v>
      </c>
      <c r="O633" s="218">
        <f t="shared" si="55"/>
        <v>99.860139860139867</v>
      </c>
      <c r="P633" s="278"/>
      <c r="Q633" s="289">
        <f t="shared" si="56"/>
        <v>14300</v>
      </c>
      <c r="R633" s="17">
        <f t="shared" si="56"/>
        <v>14280</v>
      </c>
      <c r="S633" s="219">
        <f t="shared" si="57"/>
        <v>99.860139860139867</v>
      </c>
    </row>
    <row r="634" spans="2:19" x14ac:dyDescent="0.2">
      <c r="B634" s="78">
        <f t="shared" si="58"/>
        <v>61</v>
      </c>
      <c r="C634" s="3"/>
      <c r="D634" s="3"/>
      <c r="E634" s="3"/>
      <c r="F634" s="25"/>
      <c r="G634" s="3"/>
      <c r="H634" s="116" t="s">
        <v>198</v>
      </c>
      <c r="I634" s="18"/>
      <c r="J634" s="18"/>
      <c r="K634" s="218"/>
      <c r="L634" s="279"/>
      <c r="M634" s="285">
        <f>M635</f>
        <v>14300</v>
      </c>
      <c r="N634" s="18">
        <f>N635</f>
        <v>14280</v>
      </c>
      <c r="O634" s="218">
        <f t="shared" si="55"/>
        <v>99.860139860139867</v>
      </c>
      <c r="P634" s="279"/>
      <c r="Q634" s="285">
        <f t="shared" si="56"/>
        <v>14300</v>
      </c>
      <c r="R634" s="18">
        <f t="shared" si="56"/>
        <v>14280</v>
      </c>
      <c r="S634" s="219">
        <f t="shared" si="57"/>
        <v>99.860139860139867</v>
      </c>
    </row>
    <row r="635" spans="2:19" x14ac:dyDescent="0.2">
      <c r="B635" s="78">
        <f t="shared" si="58"/>
        <v>62</v>
      </c>
      <c r="C635" s="3"/>
      <c r="D635" s="3"/>
      <c r="E635" s="3"/>
      <c r="F635" s="30"/>
      <c r="G635" s="4"/>
      <c r="H635" s="12" t="s">
        <v>575</v>
      </c>
      <c r="I635" s="20"/>
      <c r="J635" s="20"/>
      <c r="K635" s="218"/>
      <c r="L635" s="280"/>
      <c r="M635" s="286">
        <v>14300</v>
      </c>
      <c r="N635" s="21">
        <v>14280</v>
      </c>
      <c r="O635" s="218">
        <f t="shared" si="55"/>
        <v>99.860139860139867</v>
      </c>
      <c r="P635" s="280"/>
      <c r="Q635" s="285">
        <f t="shared" si="56"/>
        <v>14300</v>
      </c>
      <c r="R635" s="18">
        <f t="shared" si="56"/>
        <v>14280</v>
      </c>
      <c r="S635" s="219">
        <f t="shared" si="57"/>
        <v>99.860139860139867</v>
      </c>
    </row>
    <row r="636" spans="2:19" x14ac:dyDescent="0.2">
      <c r="B636" s="78">
        <f t="shared" si="58"/>
        <v>63</v>
      </c>
      <c r="C636" s="6"/>
      <c r="D636" s="6"/>
      <c r="E636" s="6" t="s">
        <v>104</v>
      </c>
      <c r="F636" s="28"/>
      <c r="G636" s="6"/>
      <c r="H636" s="6" t="s">
        <v>105</v>
      </c>
      <c r="I636" s="39">
        <f>I637+I638+I639+I644</f>
        <v>206599</v>
      </c>
      <c r="J636" s="39">
        <f>J637+J638+J639+J644</f>
        <v>206596</v>
      </c>
      <c r="K636" s="218">
        <f t="shared" ref="K636:K699" si="59">J636/I636*100</f>
        <v>99.998547911654939</v>
      </c>
      <c r="L636" s="278"/>
      <c r="M636" s="343">
        <v>0</v>
      </c>
      <c r="N636" s="39">
        <v>0</v>
      </c>
      <c r="O636" s="218"/>
      <c r="P636" s="278"/>
      <c r="Q636" s="343">
        <f t="shared" si="56"/>
        <v>206599</v>
      </c>
      <c r="R636" s="39">
        <f t="shared" si="56"/>
        <v>206596</v>
      </c>
      <c r="S636" s="219">
        <f t="shared" si="57"/>
        <v>99.998547911654939</v>
      </c>
    </row>
    <row r="637" spans="2:19" x14ac:dyDescent="0.2">
      <c r="B637" s="78">
        <f t="shared" si="58"/>
        <v>64</v>
      </c>
      <c r="C637" s="7"/>
      <c r="D637" s="7"/>
      <c r="E637" s="7"/>
      <c r="F637" s="24" t="s">
        <v>203</v>
      </c>
      <c r="G637" s="7">
        <v>610</v>
      </c>
      <c r="H637" s="7" t="s">
        <v>143</v>
      </c>
      <c r="I637" s="22">
        <f>105495+7419-2114</f>
        <v>110800</v>
      </c>
      <c r="J637" s="22">
        <v>110799</v>
      </c>
      <c r="K637" s="218">
        <f t="shared" si="59"/>
        <v>99.999097472924191</v>
      </c>
      <c r="L637" s="278"/>
      <c r="M637" s="284"/>
      <c r="N637" s="22"/>
      <c r="O637" s="218"/>
      <c r="P637" s="278"/>
      <c r="Q637" s="284">
        <f t="shared" si="56"/>
        <v>110800</v>
      </c>
      <c r="R637" s="22">
        <f t="shared" si="56"/>
        <v>110799</v>
      </c>
      <c r="S637" s="219">
        <f t="shared" si="57"/>
        <v>99.999097472924191</v>
      </c>
    </row>
    <row r="638" spans="2:19" x14ac:dyDescent="0.2">
      <c r="B638" s="78">
        <f t="shared" si="58"/>
        <v>65</v>
      </c>
      <c r="C638" s="7"/>
      <c r="D638" s="7"/>
      <c r="E638" s="7"/>
      <c r="F638" s="24" t="s">
        <v>203</v>
      </c>
      <c r="G638" s="7">
        <v>620</v>
      </c>
      <c r="H638" s="7" t="s">
        <v>136</v>
      </c>
      <c r="I638" s="22">
        <f>38866+2741-739</f>
        <v>40868</v>
      </c>
      <c r="J638" s="22">
        <v>40868</v>
      </c>
      <c r="K638" s="218">
        <f t="shared" si="59"/>
        <v>100</v>
      </c>
      <c r="L638" s="278"/>
      <c r="M638" s="284"/>
      <c r="N638" s="22"/>
      <c r="O638" s="218"/>
      <c r="P638" s="278"/>
      <c r="Q638" s="284">
        <f t="shared" si="56"/>
        <v>40868</v>
      </c>
      <c r="R638" s="22">
        <f t="shared" si="56"/>
        <v>40868</v>
      </c>
      <c r="S638" s="219">
        <f t="shared" ref="S638:S701" si="60">R638/Q638*100</f>
        <v>100</v>
      </c>
    </row>
    <row r="639" spans="2:19" x14ac:dyDescent="0.2">
      <c r="B639" s="78">
        <f t="shared" si="58"/>
        <v>66</v>
      </c>
      <c r="C639" s="7"/>
      <c r="D639" s="7"/>
      <c r="E639" s="7"/>
      <c r="F639" s="24" t="s">
        <v>203</v>
      </c>
      <c r="G639" s="7">
        <v>630</v>
      </c>
      <c r="H639" s="7" t="s">
        <v>133</v>
      </c>
      <c r="I639" s="22">
        <f>SUM(I640:I643)</f>
        <v>54168</v>
      </c>
      <c r="J639" s="22">
        <f>SUM(J640:J643)</f>
        <v>54166</v>
      </c>
      <c r="K639" s="218">
        <f t="shared" si="59"/>
        <v>99.996307783193032</v>
      </c>
      <c r="L639" s="278"/>
      <c r="M639" s="284"/>
      <c r="N639" s="22"/>
      <c r="O639" s="218"/>
      <c r="P639" s="278"/>
      <c r="Q639" s="284">
        <f t="shared" si="56"/>
        <v>54168</v>
      </c>
      <c r="R639" s="22">
        <f t="shared" si="56"/>
        <v>54166</v>
      </c>
      <c r="S639" s="219">
        <f t="shared" si="60"/>
        <v>99.996307783193032</v>
      </c>
    </row>
    <row r="640" spans="2:19" x14ac:dyDescent="0.2">
      <c r="B640" s="78">
        <f t="shared" si="58"/>
        <v>67</v>
      </c>
      <c r="C640" s="3"/>
      <c r="D640" s="3"/>
      <c r="E640" s="3"/>
      <c r="F640" s="25" t="s">
        <v>203</v>
      </c>
      <c r="G640" s="3">
        <v>632</v>
      </c>
      <c r="H640" s="3" t="s">
        <v>146</v>
      </c>
      <c r="I640" s="18">
        <f>32500-5000</f>
        <v>27500</v>
      </c>
      <c r="J640" s="18">
        <v>27499</v>
      </c>
      <c r="K640" s="218">
        <f t="shared" si="59"/>
        <v>99.99636363636364</v>
      </c>
      <c r="L640" s="279"/>
      <c r="M640" s="285"/>
      <c r="N640" s="18"/>
      <c r="O640" s="218"/>
      <c r="P640" s="279"/>
      <c r="Q640" s="285">
        <f t="shared" si="56"/>
        <v>27500</v>
      </c>
      <c r="R640" s="18">
        <f t="shared" si="56"/>
        <v>27499</v>
      </c>
      <c r="S640" s="219">
        <f t="shared" si="60"/>
        <v>99.99636363636364</v>
      </c>
    </row>
    <row r="641" spans="2:19" x14ac:dyDescent="0.2">
      <c r="B641" s="78">
        <f t="shared" ref="B641:B704" si="61">B640+1</f>
        <v>68</v>
      </c>
      <c r="C641" s="3"/>
      <c r="D641" s="3"/>
      <c r="E641" s="3"/>
      <c r="F641" s="25" t="s">
        <v>203</v>
      </c>
      <c r="G641" s="3">
        <v>633</v>
      </c>
      <c r="H641" s="3" t="s">
        <v>137</v>
      </c>
      <c r="I641" s="18">
        <f>9021+2852+5595</f>
        <v>17468</v>
      </c>
      <c r="J641" s="18">
        <v>17467</v>
      </c>
      <c r="K641" s="218">
        <f t="shared" si="59"/>
        <v>99.994275246164406</v>
      </c>
      <c r="L641" s="279"/>
      <c r="M641" s="285"/>
      <c r="N641" s="18"/>
      <c r="O641" s="218"/>
      <c r="P641" s="279"/>
      <c r="Q641" s="285">
        <f t="shared" si="56"/>
        <v>17468</v>
      </c>
      <c r="R641" s="18">
        <f t="shared" si="56"/>
        <v>17467</v>
      </c>
      <c r="S641" s="219">
        <f t="shared" si="60"/>
        <v>99.994275246164406</v>
      </c>
    </row>
    <row r="642" spans="2:19" x14ac:dyDescent="0.2">
      <c r="B642" s="78">
        <f t="shared" si="61"/>
        <v>69</v>
      </c>
      <c r="C642" s="3"/>
      <c r="D642" s="3"/>
      <c r="E642" s="3"/>
      <c r="F642" s="25" t="s">
        <v>203</v>
      </c>
      <c r="G642" s="3">
        <v>635</v>
      </c>
      <c r="H642" s="3" t="s">
        <v>145</v>
      </c>
      <c r="I642" s="18">
        <f>7150-1000</f>
        <v>6150</v>
      </c>
      <c r="J642" s="18">
        <v>6150</v>
      </c>
      <c r="K642" s="218">
        <f t="shared" si="59"/>
        <v>100</v>
      </c>
      <c r="L642" s="279"/>
      <c r="M642" s="285"/>
      <c r="N642" s="18"/>
      <c r="O642" s="218"/>
      <c r="P642" s="279"/>
      <c r="Q642" s="285">
        <f t="shared" si="56"/>
        <v>6150</v>
      </c>
      <c r="R642" s="18">
        <f t="shared" si="56"/>
        <v>6150</v>
      </c>
      <c r="S642" s="219">
        <f t="shared" si="60"/>
        <v>100</v>
      </c>
    </row>
    <row r="643" spans="2:19" x14ac:dyDescent="0.2">
      <c r="B643" s="78">
        <f t="shared" si="61"/>
        <v>70</v>
      </c>
      <c r="C643" s="3"/>
      <c r="D643" s="3"/>
      <c r="E643" s="3"/>
      <c r="F643" s="25" t="s">
        <v>203</v>
      </c>
      <c r="G643" s="3">
        <v>637</v>
      </c>
      <c r="H643" s="3" t="s">
        <v>134</v>
      </c>
      <c r="I643" s="18">
        <f>2950+100</f>
        <v>3050</v>
      </c>
      <c r="J643" s="18">
        <v>3050</v>
      </c>
      <c r="K643" s="218">
        <f t="shared" si="59"/>
        <v>100</v>
      </c>
      <c r="L643" s="279"/>
      <c r="M643" s="285"/>
      <c r="N643" s="18"/>
      <c r="O643" s="218"/>
      <c r="P643" s="279"/>
      <c r="Q643" s="285">
        <f t="shared" si="56"/>
        <v>3050</v>
      </c>
      <c r="R643" s="18">
        <f t="shared" si="56"/>
        <v>3050</v>
      </c>
      <c r="S643" s="219">
        <f t="shared" si="60"/>
        <v>100</v>
      </c>
    </row>
    <row r="644" spans="2:19" x14ac:dyDescent="0.2">
      <c r="B644" s="78">
        <f t="shared" si="61"/>
        <v>71</v>
      </c>
      <c r="C644" s="3"/>
      <c r="D644" s="3"/>
      <c r="E644" s="3"/>
      <c r="F644" s="24" t="s">
        <v>203</v>
      </c>
      <c r="G644" s="7">
        <v>640</v>
      </c>
      <c r="H644" s="7" t="s">
        <v>141</v>
      </c>
      <c r="I644" s="22">
        <v>763</v>
      </c>
      <c r="J644" s="22">
        <v>763</v>
      </c>
      <c r="K644" s="218">
        <f t="shared" si="59"/>
        <v>100</v>
      </c>
      <c r="L644" s="278"/>
      <c r="M644" s="284"/>
      <c r="N644" s="22"/>
      <c r="O644" s="218"/>
      <c r="P644" s="278"/>
      <c r="Q644" s="284">
        <f t="shared" ref="Q644:R659" si="62">I644+M644</f>
        <v>763</v>
      </c>
      <c r="R644" s="22">
        <f t="shared" si="62"/>
        <v>763</v>
      </c>
      <c r="S644" s="219">
        <f t="shared" si="60"/>
        <v>100</v>
      </c>
    </row>
    <row r="645" spans="2:19" x14ac:dyDescent="0.2">
      <c r="B645" s="78">
        <f t="shared" si="61"/>
        <v>72</v>
      </c>
      <c r="C645" s="6"/>
      <c r="D645" s="6"/>
      <c r="E645" s="6" t="s">
        <v>107</v>
      </c>
      <c r="F645" s="28"/>
      <c r="G645" s="6"/>
      <c r="H645" s="6" t="s">
        <v>108</v>
      </c>
      <c r="I645" s="39">
        <f>I646+I647+I648+I653</f>
        <v>200772</v>
      </c>
      <c r="J645" s="39">
        <f>J646+J647+J648+J653</f>
        <v>200231</v>
      </c>
      <c r="K645" s="218">
        <f t="shared" si="59"/>
        <v>99.730540115155492</v>
      </c>
      <c r="L645" s="278"/>
      <c r="M645" s="343">
        <v>0</v>
      </c>
      <c r="N645" s="39">
        <v>0</v>
      </c>
      <c r="O645" s="218"/>
      <c r="P645" s="278"/>
      <c r="Q645" s="343">
        <f t="shared" si="62"/>
        <v>200772</v>
      </c>
      <c r="R645" s="39">
        <f t="shared" si="62"/>
        <v>200231</v>
      </c>
      <c r="S645" s="219">
        <f t="shared" si="60"/>
        <v>99.730540115155492</v>
      </c>
    </row>
    <row r="646" spans="2:19" x14ac:dyDescent="0.2">
      <c r="B646" s="78">
        <f t="shared" si="61"/>
        <v>73</v>
      </c>
      <c r="C646" s="7"/>
      <c r="D646" s="7"/>
      <c r="E646" s="7"/>
      <c r="F646" s="24" t="s">
        <v>203</v>
      </c>
      <c r="G646" s="7">
        <v>610</v>
      </c>
      <c r="H646" s="7" t="s">
        <v>143</v>
      </c>
      <c r="I646" s="22">
        <f>106642+7835-2186</f>
        <v>112291</v>
      </c>
      <c r="J646" s="22">
        <v>112291</v>
      </c>
      <c r="K646" s="218">
        <f t="shared" si="59"/>
        <v>100</v>
      </c>
      <c r="L646" s="278"/>
      <c r="M646" s="284"/>
      <c r="N646" s="22"/>
      <c r="O646" s="218"/>
      <c r="P646" s="278"/>
      <c r="Q646" s="284">
        <f t="shared" si="62"/>
        <v>112291</v>
      </c>
      <c r="R646" s="22">
        <f t="shared" si="62"/>
        <v>112291</v>
      </c>
      <c r="S646" s="219">
        <f t="shared" si="60"/>
        <v>100</v>
      </c>
    </row>
    <row r="647" spans="2:19" x14ac:dyDescent="0.2">
      <c r="B647" s="78">
        <f t="shared" si="61"/>
        <v>74</v>
      </c>
      <c r="C647" s="7"/>
      <c r="D647" s="7"/>
      <c r="E647" s="7"/>
      <c r="F647" s="24" t="s">
        <v>203</v>
      </c>
      <c r="G647" s="7">
        <v>620</v>
      </c>
      <c r="H647" s="7" t="s">
        <v>136</v>
      </c>
      <c r="I647" s="22">
        <f>39288+2895-764</f>
        <v>41419</v>
      </c>
      <c r="J647" s="22">
        <v>41418</v>
      </c>
      <c r="K647" s="218">
        <f t="shared" si="59"/>
        <v>99.997585649098241</v>
      </c>
      <c r="L647" s="278"/>
      <c r="M647" s="284"/>
      <c r="N647" s="22"/>
      <c r="O647" s="218"/>
      <c r="P647" s="278"/>
      <c r="Q647" s="284">
        <f t="shared" si="62"/>
        <v>41419</v>
      </c>
      <c r="R647" s="22">
        <f t="shared" si="62"/>
        <v>41418</v>
      </c>
      <c r="S647" s="219">
        <f t="shared" si="60"/>
        <v>99.997585649098241</v>
      </c>
    </row>
    <row r="648" spans="2:19" x14ac:dyDescent="0.2">
      <c r="B648" s="78">
        <f t="shared" si="61"/>
        <v>75</v>
      </c>
      <c r="C648" s="7"/>
      <c r="D648" s="7"/>
      <c r="E648" s="7"/>
      <c r="F648" s="24" t="s">
        <v>203</v>
      </c>
      <c r="G648" s="7">
        <v>630</v>
      </c>
      <c r="H648" s="7" t="s">
        <v>133</v>
      </c>
      <c r="I648" s="22">
        <f>SUM(I649:I652)</f>
        <v>43892</v>
      </c>
      <c r="J648" s="22">
        <f>SUM(J649:J652)</f>
        <v>43352</v>
      </c>
      <c r="K648" s="218">
        <f t="shared" si="59"/>
        <v>98.769707463774722</v>
      </c>
      <c r="L648" s="278"/>
      <c r="M648" s="284"/>
      <c r="N648" s="22"/>
      <c r="O648" s="218"/>
      <c r="P648" s="278"/>
      <c r="Q648" s="284">
        <f t="shared" si="62"/>
        <v>43892</v>
      </c>
      <c r="R648" s="22">
        <f t="shared" si="62"/>
        <v>43352</v>
      </c>
      <c r="S648" s="219">
        <f t="shared" si="60"/>
        <v>98.769707463774722</v>
      </c>
    </row>
    <row r="649" spans="2:19" x14ac:dyDescent="0.2">
      <c r="B649" s="78">
        <f t="shared" si="61"/>
        <v>76</v>
      </c>
      <c r="C649" s="3"/>
      <c r="D649" s="3"/>
      <c r="E649" s="3"/>
      <c r="F649" s="25" t="s">
        <v>203</v>
      </c>
      <c r="G649" s="3">
        <v>632</v>
      </c>
      <c r="H649" s="3" t="s">
        <v>146</v>
      </c>
      <c r="I649" s="18">
        <f>24560-230</f>
        <v>24330</v>
      </c>
      <c r="J649" s="18">
        <v>24330</v>
      </c>
      <c r="K649" s="218">
        <f t="shared" si="59"/>
        <v>100</v>
      </c>
      <c r="L649" s="279"/>
      <c r="M649" s="285"/>
      <c r="N649" s="18"/>
      <c r="O649" s="218"/>
      <c r="P649" s="279"/>
      <c r="Q649" s="285">
        <f t="shared" si="62"/>
        <v>24330</v>
      </c>
      <c r="R649" s="18">
        <f t="shared" si="62"/>
        <v>24330</v>
      </c>
      <c r="S649" s="219">
        <f t="shared" si="60"/>
        <v>100</v>
      </c>
    </row>
    <row r="650" spans="2:19" x14ac:dyDescent="0.2">
      <c r="B650" s="78">
        <f t="shared" si="61"/>
        <v>77</v>
      </c>
      <c r="C650" s="3"/>
      <c r="D650" s="3"/>
      <c r="E650" s="3"/>
      <c r="F650" s="25" t="s">
        <v>203</v>
      </c>
      <c r="G650" s="3">
        <v>633</v>
      </c>
      <c r="H650" s="3" t="s">
        <v>137</v>
      </c>
      <c r="I650" s="18">
        <f>9768+3113-3539-9</f>
        <v>9333</v>
      </c>
      <c r="J650" s="18">
        <v>8793</v>
      </c>
      <c r="K650" s="218">
        <f t="shared" si="59"/>
        <v>94.214079074252652</v>
      </c>
      <c r="L650" s="279"/>
      <c r="M650" s="285"/>
      <c r="N650" s="18"/>
      <c r="O650" s="218"/>
      <c r="P650" s="279"/>
      <c r="Q650" s="285">
        <f t="shared" si="62"/>
        <v>9333</v>
      </c>
      <c r="R650" s="18">
        <f t="shared" si="62"/>
        <v>8793</v>
      </c>
      <c r="S650" s="219">
        <f t="shared" si="60"/>
        <v>94.214079074252652</v>
      </c>
    </row>
    <row r="651" spans="2:19" x14ac:dyDescent="0.2">
      <c r="B651" s="78">
        <f t="shared" si="61"/>
        <v>78</v>
      </c>
      <c r="C651" s="3"/>
      <c r="D651" s="3"/>
      <c r="E651" s="3"/>
      <c r="F651" s="25" t="s">
        <v>203</v>
      </c>
      <c r="G651" s="3">
        <v>635</v>
      </c>
      <c r="H651" s="3" t="s">
        <v>145</v>
      </c>
      <c r="I651" s="18">
        <f>3100+3539+230</f>
        <v>6869</v>
      </c>
      <c r="J651" s="18">
        <v>6869</v>
      </c>
      <c r="K651" s="218">
        <f t="shared" si="59"/>
        <v>100</v>
      </c>
      <c r="L651" s="279"/>
      <c r="M651" s="285"/>
      <c r="N651" s="18"/>
      <c r="O651" s="218"/>
      <c r="P651" s="279"/>
      <c r="Q651" s="285">
        <f t="shared" si="62"/>
        <v>6869</v>
      </c>
      <c r="R651" s="18">
        <f t="shared" si="62"/>
        <v>6869</v>
      </c>
      <c r="S651" s="219">
        <f t="shared" si="60"/>
        <v>100</v>
      </c>
    </row>
    <row r="652" spans="2:19" x14ac:dyDescent="0.2">
      <c r="B652" s="78">
        <f t="shared" si="61"/>
        <v>79</v>
      </c>
      <c r="C652" s="3"/>
      <c r="D652" s="3"/>
      <c r="E652" s="3"/>
      <c r="F652" s="25" t="s">
        <v>203</v>
      </c>
      <c r="G652" s="3">
        <v>637</v>
      </c>
      <c r="H652" s="3" t="s">
        <v>134</v>
      </c>
      <c r="I652" s="18">
        <f>3220+140</f>
        <v>3360</v>
      </c>
      <c r="J652" s="18">
        <v>3360</v>
      </c>
      <c r="K652" s="218">
        <f t="shared" si="59"/>
        <v>100</v>
      </c>
      <c r="L652" s="279"/>
      <c r="M652" s="285"/>
      <c r="N652" s="18"/>
      <c r="O652" s="218"/>
      <c r="P652" s="279"/>
      <c r="Q652" s="285">
        <f t="shared" si="62"/>
        <v>3360</v>
      </c>
      <c r="R652" s="18">
        <f t="shared" si="62"/>
        <v>3360</v>
      </c>
      <c r="S652" s="219">
        <f t="shared" si="60"/>
        <v>100</v>
      </c>
    </row>
    <row r="653" spans="2:19" x14ac:dyDescent="0.2">
      <c r="B653" s="78">
        <f t="shared" si="61"/>
        <v>80</v>
      </c>
      <c r="C653" s="7"/>
      <c r="D653" s="7"/>
      <c r="E653" s="7"/>
      <c r="F653" s="24" t="s">
        <v>203</v>
      </c>
      <c r="G653" s="7">
        <v>640</v>
      </c>
      <c r="H653" s="7" t="s">
        <v>141</v>
      </c>
      <c r="I653" s="22">
        <v>3170</v>
      </c>
      <c r="J653" s="22">
        <v>3170</v>
      </c>
      <c r="K653" s="218">
        <f t="shared" si="59"/>
        <v>100</v>
      </c>
      <c r="L653" s="278"/>
      <c r="M653" s="284"/>
      <c r="N653" s="22"/>
      <c r="O653" s="218"/>
      <c r="P653" s="278"/>
      <c r="Q653" s="284">
        <f t="shared" si="62"/>
        <v>3170</v>
      </c>
      <c r="R653" s="22">
        <f t="shared" si="62"/>
        <v>3170</v>
      </c>
      <c r="S653" s="219">
        <f t="shared" si="60"/>
        <v>100</v>
      </c>
    </row>
    <row r="654" spans="2:19" x14ac:dyDescent="0.2">
      <c r="B654" s="78">
        <f t="shared" si="61"/>
        <v>81</v>
      </c>
      <c r="C654" s="6"/>
      <c r="D654" s="6"/>
      <c r="E654" s="6" t="s">
        <v>91</v>
      </c>
      <c r="F654" s="28"/>
      <c r="G654" s="6"/>
      <c r="H654" s="6" t="s">
        <v>92</v>
      </c>
      <c r="I654" s="39">
        <f>I655+I656+I657+I662</f>
        <v>297547</v>
      </c>
      <c r="J654" s="39">
        <f>J655+J656+J657+J662</f>
        <v>297327</v>
      </c>
      <c r="K654" s="218">
        <f t="shared" si="59"/>
        <v>99.92606210111343</v>
      </c>
      <c r="L654" s="278"/>
      <c r="M654" s="343">
        <v>0</v>
      </c>
      <c r="N654" s="39">
        <v>0</v>
      </c>
      <c r="O654" s="218"/>
      <c r="P654" s="278"/>
      <c r="Q654" s="343">
        <f t="shared" si="62"/>
        <v>297547</v>
      </c>
      <c r="R654" s="39">
        <f t="shared" si="62"/>
        <v>297327</v>
      </c>
      <c r="S654" s="219">
        <f t="shared" si="60"/>
        <v>99.92606210111343</v>
      </c>
    </row>
    <row r="655" spans="2:19" x14ac:dyDescent="0.2">
      <c r="B655" s="78">
        <f t="shared" si="61"/>
        <v>82</v>
      </c>
      <c r="C655" s="7"/>
      <c r="D655" s="7"/>
      <c r="E655" s="7"/>
      <c r="F655" s="24" t="s">
        <v>203</v>
      </c>
      <c r="G655" s="7">
        <v>610</v>
      </c>
      <c r="H655" s="7" t="s">
        <v>143</v>
      </c>
      <c r="I655" s="22">
        <f>158713+11046-3157</f>
        <v>166602</v>
      </c>
      <c r="J655" s="22">
        <v>166602</v>
      </c>
      <c r="K655" s="218">
        <f t="shared" si="59"/>
        <v>100</v>
      </c>
      <c r="L655" s="278"/>
      <c r="M655" s="284"/>
      <c r="N655" s="22"/>
      <c r="O655" s="218"/>
      <c r="P655" s="278"/>
      <c r="Q655" s="284">
        <f t="shared" si="62"/>
        <v>166602</v>
      </c>
      <c r="R655" s="22">
        <f t="shared" si="62"/>
        <v>166602</v>
      </c>
      <c r="S655" s="219">
        <f t="shared" si="60"/>
        <v>100</v>
      </c>
    </row>
    <row r="656" spans="2:19" x14ac:dyDescent="0.2">
      <c r="B656" s="78">
        <f t="shared" si="61"/>
        <v>83</v>
      </c>
      <c r="C656" s="7"/>
      <c r="D656" s="7"/>
      <c r="E656" s="7"/>
      <c r="F656" s="24" t="s">
        <v>203</v>
      </c>
      <c r="G656" s="7">
        <v>620</v>
      </c>
      <c r="H656" s="7" t="s">
        <v>136</v>
      </c>
      <c r="I656" s="22">
        <f>60173+4082-1110</f>
        <v>63145</v>
      </c>
      <c r="J656" s="22">
        <v>63145</v>
      </c>
      <c r="K656" s="218">
        <f t="shared" si="59"/>
        <v>100</v>
      </c>
      <c r="L656" s="278"/>
      <c r="M656" s="284"/>
      <c r="N656" s="22"/>
      <c r="O656" s="218"/>
      <c r="P656" s="278"/>
      <c r="Q656" s="284">
        <f t="shared" si="62"/>
        <v>63145</v>
      </c>
      <c r="R656" s="22">
        <f t="shared" si="62"/>
        <v>63145</v>
      </c>
      <c r="S656" s="219">
        <f t="shared" si="60"/>
        <v>100</v>
      </c>
    </row>
    <row r="657" spans="2:19" x14ac:dyDescent="0.2">
      <c r="B657" s="78">
        <f t="shared" si="61"/>
        <v>84</v>
      </c>
      <c r="C657" s="7"/>
      <c r="D657" s="7"/>
      <c r="E657" s="7"/>
      <c r="F657" s="24" t="s">
        <v>203</v>
      </c>
      <c r="G657" s="7">
        <v>630</v>
      </c>
      <c r="H657" s="7" t="s">
        <v>133</v>
      </c>
      <c r="I657" s="22">
        <f>SUM(I658:I661)</f>
        <v>63292</v>
      </c>
      <c r="J657" s="22">
        <f>SUM(J658:J661)</f>
        <v>63170</v>
      </c>
      <c r="K657" s="218">
        <f t="shared" si="59"/>
        <v>99.80724262150035</v>
      </c>
      <c r="L657" s="278"/>
      <c r="M657" s="284"/>
      <c r="N657" s="22"/>
      <c r="O657" s="218"/>
      <c r="P657" s="278"/>
      <c r="Q657" s="284">
        <f t="shared" si="62"/>
        <v>63292</v>
      </c>
      <c r="R657" s="22">
        <f t="shared" si="62"/>
        <v>63170</v>
      </c>
      <c r="S657" s="219">
        <f t="shared" si="60"/>
        <v>99.80724262150035</v>
      </c>
    </row>
    <row r="658" spans="2:19" x14ac:dyDescent="0.2">
      <c r="B658" s="78">
        <f t="shared" si="61"/>
        <v>85</v>
      </c>
      <c r="C658" s="3"/>
      <c r="D658" s="3"/>
      <c r="E658" s="3"/>
      <c r="F658" s="25" t="s">
        <v>203</v>
      </c>
      <c r="G658" s="3">
        <v>632</v>
      </c>
      <c r="H658" s="3" t="s">
        <v>146</v>
      </c>
      <c r="I658" s="18">
        <f>40100-2000</f>
        <v>38100</v>
      </c>
      <c r="J658" s="18">
        <v>38100</v>
      </c>
      <c r="K658" s="218">
        <f t="shared" si="59"/>
        <v>100</v>
      </c>
      <c r="L658" s="279"/>
      <c r="M658" s="285"/>
      <c r="N658" s="18"/>
      <c r="O658" s="218"/>
      <c r="P658" s="279"/>
      <c r="Q658" s="285">
        <f t="shared" si="62"/>
        <v>38100</v>
      </c>
      <c r="R658" s="18">
        <f t="shared" si="62"/>
        <v>38100</v>
      </c>
      <c r="S658" s="219">
        <f t="shared" si="60"/>
        <v>100</v>
      </c>
    </row>
    <row r="659" spans="2:19" x14ac:dyDescent="0.2">
      <c r="B659" s="78">
        <f t="shared" si="61"/>
        <v>86</v>
      </c>
      <c r="C659" s="3"/>
      <c r="D659" s="3"/>
      <c r="E659" s="3"/>
      <c r="F659" s="25" t="s">
        <v>203</v>
      </c>
      <c r="G659" s="3">
        <v>633</v>
      </c>
      <c r="H659" s="3" t="s">
        <v>137</v>
      </c>
      <c r="I659" s="18">
        <f>10385+3999+2458</f>
        <v>16842</v>
      </c>
      <c r="J659" s="18">
        <v>16720</v>
      </c>
      <c r="K659" s="218">
        <f t="shared" si="59"/>
        <v>99.275620472627963</v>
      </c>
      <c r="L659" s="279"/>
      <c r="M659" s="285"/>
      <c r="N659" s="18"/>
      <c r="O659" s="218"/>
      <c r="P659" s="279"/>
      <c r="Q659" s="285">
        <f t="shared" si="62"/>
        <v>16842</v>
      </c>
      <c r="R659" s="18">
        <f t="shared" si="62"/>
        <v>16720</v>
      </c>
      <c r="S659" s="219">
        <f t="shared" si="60"/>
        <v>99.275620472627963</v>
      </c>
    </row>
    <row r="660" spans="2:19" x14ac:dyDescent="0.2">
      <c r="B660" s="78">
        <f t="shared" si="61"/>
        <v>87</v>
      </c>
      <c r="C660" s="3"/>
      <c r="D660" s="3"/>
      <c r="E660" s="3"/>
      <c r="F660" s="25" t="s">
        <v>203</v>
      </c>
      <c r="G660" s="3">
        <v>635</v>
      </c>
      <c r="H660" s="3" t="s">
        <v>145</v>
      </c>
      <c r="I660" s="18">
        <v>3600</v>
      </c>
      <c r="J660" s="18">
        <v>3600</v>
      </c>
      <c r="K660" s="218">
        <f t="shared" si="59"/>
        <v>100</v>
      </c>
      <c r="L660" s="279"/>
      <c r="M660" s="285"/>
      <c r="N660" s="18"/>
      <c r="O660" s="218"/>
      <c r="P660" s="279"/>
      <c r="Q660" s="285">
        <f t="shared" ref="Q660:R733" si="63">I660+M660</f>
        <v>3600</v>
      </c>
      <c r="R660" s="18">
        <f t="shared" si="63"/>
        <v>3600</v>
      </c>
      <c r="S660" s="219">
        <f t="shared" si="60"/>
        <v>100</v>
      </c>
    </row>
    <row r="661" spans="2:19" x14ac:dyDescent="0.2">
      <c r="B661" s="78">
        <f t="shared" si="61"/>
        <v>88</v>
      </c>
      <c r="C661" s="3"/>
      <c r="D661" s="3"/>
      <c r="E661" s="3"/>
      <c r="F661" s="25" t="s">
        <v>203</v>
      </c>
      <c r="G661" s="3">
        <v>637</v>
      </c>
      <c r="H661" s="3" t="s">
        <v>134</v>
      </c>
      <c r="I661" s="18">
        <f>4570+180</f>
        <v>4750</v>
      </c>
      <c r="J661" s="18">
        <v>4750</v>
      </c>
      <c r="K661" s="218">
        <f t="shared" si="59"/>
        <v>100</v>
      </c>
      <c r="L661" s="279"/>
      <c r="M661" s="285"/>
      <c r="N661" s="18"/>
      <c r="O661" s="218"/>
      <c r="P661" s="279"/>
      <c r="Q661" s="285">
        <f t="shared" si="63"/>
        <v>4750</v>
      </c>
      <c r="R661" s="18">
        <f t="shared" si="63"/>
        <v>4750</v>
      </c>
      <c r="S661" s="219">
        <f t="shared" si="60"/>
        <v>100</v>
      </c>
    </row>
    <row r="662" spans="2:19" x14ac:dyDescent="0.2">
      <c r="B662" s="78">
        <f t="shared" si="61"/>
        <v>89</v>
      </c>
      <c r="C662" s="7"/>
      <c r="D662" s="7"/>
      <c r="E662" s="7"/>
      <c r="F662" s="24" t="s">
        <v>203</v>
      </c>
      <c r="G662" s="7">
        <v>640</v>
      </c>
      <c r="H662" s="7" t="s">
        <v>141</v>
      </c>
      <c r="I662" s="22">
        <v>4508</v>
      </c>
      <c r="J662" s="22">
        <v>4410</v>
      </c>
      <c r="K662" s="218">
        <f t="shared" si="59"/>
        <v>97.826086956521735</v>
      </c>
      <c r="L662" s="278"/>
      <c r="M662" s="284"/>
      <c r="N662" s="22"/>
      <c r="O662" s="218"/>
      <c r="P662" s="278"/>
      <c r="Q662" s="284">
        <f t="shared" si="63"/>
        <v>4508</v>
      </c>
      <c r="R662" s="22">
        <f t="shared" si="63"/>
        <v>4410</v>
      </c>
      <c r="S662" s="219">
        <f t="shared" si="60"/>
        <v>97.826086956521735</v>
      </c>
    </row>
    <row r="663" spans="2:19" x14ac:dyDescent="0.2">
      <c r="B663" s="78">
        <f t="shared" si="61"/>
        <v>90</v>
      </c>
      <c r="C663" s="6"/>
      <c r="D663" s="6"/>
      <c r="E663" s="6" t="s">
        <v>88</v>
      </c>
      <c r="F663" s="28"/>
      <c r="G663" s="6"/>
      <c r="H663" s="6" t="s">
        <v>89</v>
      </c>
      <c r="I663" s="39">
        <f>I664+I665+I666+I671</f>
        <v>308807</v>
      </c>
      <c r="J663" s="39">
        <f>J664+J665+J666+J671</f>
        <v>308451</v>
      </c>
      <c r="K663" s="218">
        <f t="shared" si="59"/>
        <v>99.884717639172678</v>
      </c>
      <c r="L663" s="278"/>
      <c r="M663" s="343">
        <f>M672</f>
        <v>45600</v>
      </c>
      <c r="N663" s="39">
        <f>N672</f>
        <v>0</v>
      </c>
      <c r="O663" s="218">
        <f t="shared" ref="O663:O697" si="64">N663/M663*100</f>
        <v>0</v>
      </c>
      <c r="P663" s="278"/>
      <c r="Q663" s="343">
        <f t="shared" si="63"/>
        <v>354407</v>
      </c>
      <c r="R663" s="39">
        <f t="shared" si="63"/>
        <v>308451</v>
      </c>
      <c r="S663" s="219">
        <f t="shared" si="60"/>
        <v>87.032987497425268</v>
      </c>
    </row>
    <row r="664" spans="2:19" x14ac:dyDescent="0.2">
      <c r="B664" s="78">
        <f t="shared" si="61"/>
        <v>91</v>
      </c>
      <c r="C664" s="7"/>
      <c r="D664" s="7"/>
      <c r="E664" s="7"/>
      <c r="F664" s="24" t="s">
        <v>203</v>
      </c>
      <c r="G664" s="7">
        <v>610</v>
      </c>
      <c r="H664" s="7" t="s">
        <v>143</v>
      </c>
      <c r="I664" s="22">
        <f>157097+10717-3448</f>
        <v>164366</v>
      </c>
      <c r="J664" s="22">
        <v>164366</v>
      </c>
      <c r="K664" s="218">
        <f t="shared" si="59"/>
        <v>100</v>
      </c>
      <c r="L664" s="278"/>
      <c r="M664" s="284"/>
      <c r="N664" s="22"/>
      <c r="O664" s="218"/>
      <c r="P664" s="278"/>
      <c r="Q664" s="284">
        <f t="shared" si="63"/>
        <v>164366</v>
      </c>
      <c r="R664" s="22">
        <f t="shared" si="63"/>
        <v>164366</v>
      </c>
      <c r="S664" s="219">
        <f t="shared" si="60"/>
        <v>100</v>
      </c>
    </row>
    <row r="665" spans="2:19" x14ac:dyDescent="0.2">
      <c r="B665" s="78">
        <f t="shared" si="61"/>
        <v>92</v>
      </c>
      <c r="C665" s="7"/>
      <c r="D665" s="7"/>
      <c r="E665" s="7"/>
      <c r="F665" s="24" t="s">
        <v>203</v>
      </c>
      <c r="G665" s="7">
        <v>620</v>
      </c>
      <c r="H665" s="7" t="s">
        <v>136</v>
      </c>
      <c r="I665" s="22">
        <f>58912+3960-1213</f>
        <v>61659</v>
      </c>
      <c r="J665" s="22">
        <v>61659</v>
      </c>
      <c r="K665" s="218">
        <f t="shared" si="59"/>
        <v>100</v>
      </c>
      <c r="L665" s="278"/>
      <c r="M665" s="284"/>
      <c r="N665" s="22"/>
      <c r="O665" s="218"/>
      <c r="P665" s="278"/>
      <c r="Q665" s="284">
        <f t="shared" si="63"/>
        <v>61659</v>
      </c>
      <c r="R665" s="22">
        <f t="shared" si="63"/>
        <v>61659</v>
      </c>
      <c r="S665" s="219">
        <f t="shared" si="60"/>
        <v>100</v>
      </c>
    </row>
    <row r="666" spans="2:19" x14ac:dyDescent="0.2">
      <c r="B666" s="78">
        <f t="shared" si="61"/>
        <v>93</v>
      </c>
      <c r="C666" s="7"/>
      <c r="D666" s="7"/>
      <c r="E666" s="7"/>
      <c r="F666" s="24" t="s">
        <v>203</v>
      </c>
      <c r="G666" s="7">
        <v>630</v>
      </c>
      <c r="H666" s="7" t="s">
        <v>133</v>
      </c>
      <c r="I666" s="22">
        <f>SUM(I667:I670)</f>
        <v>80060</v>
      </c>
      <c r="J666" s="22">
        <f>SUM(J667:J670)</f>
        <v>80060</v>
      </c>
      <c r="K666" s="218">
        <f t="shared" si="59"/>
        <v>100</v>
      </c>
      <c r="L666" s="278"/>
      <c r="M666" s="284"/>
      <c r="N666" s="22"/>
      <c r="O666" s="218"/>
      <c r="P666" s="278"/>
      <c r="Q666" s="284">
        <f t="shared" si="63"/>
        <v>80060</v>
      </c>
      <c r="R666" s="22">
        <f t="shared" si="63"/>
        <v>80060</v>
      </c>
      <c r="S666" s="219">
        <f t="shared" si="60"/>
        <v>100</v>
      </c>
    </row>
    <row r="667" spans="2:19" x14ac:dyDescent="0.2">
      <c r="B667" s="78">
        <f t="shared" si="61"/>
        <v>94</v>
      </c>
      <c r="C667" s="3"/>
      <c r="D667" s="3"/>
      <c r="E667" s="3"/>
      <c r="F667" s="25" t="s">
        <v>203</v>
      </c>
      <c r="G667" s="3">
        <v>632</v>
      </c>
      <c r="H667" s="3" t="s">
        <v>146</v>
      </c>
      <c r="I667" s="18">
        <f>49100-2000</f>
        <v>47100</v>
      </c>
      <c r="J667" s="18">
        <v>47100</v>
      </c>
      <c r="K667" s="218">
        <f t="shared" si="59"/>
        <v>100</v>
      </c>
      <c r="L667" s="279"/>
      <c r="M667" s="285"/>
      <c r="N667" s="18"/>
      <c r="O667" s="218"/>
      <c r="P667" s="279"/>
      <c r="Q667" s="285">
        <f t="shared" si="63"/>
        <v>47100</v>
      </c>
      <c r="R667" s="18">
        <f t="shared" si="63"/>
        <v>47100</v>
      </c>
      <c r="S667" s="219">
        <f t="shared" si="60"/>
        <v>100</v>
      </c>
    </row>
    <row r="668" spans="2:19" x14ac:dyDescent="0.2">
      <c r="B668" s="78">
        <f t="shared" si="61"/>
        <v>95</v>
      </c>
      <c r="C668" s="3"/>
      <c r="D668" s="3"/>
      <c r="E668" s="3"/>
      <c r="F668" s="25" t="s">
        <v>203</v>
      </c>
      <c r="G668" s="3">
        <v>633</v>
      </c>
      <c r="H668" s="3" t="s">
        <v>137</v>
      </c>
      <c r="I668" s="18">
        <f>11827+4393-3760+3000</f>
        <v>15460</v>
      </c>
      <c r="J668" s="18">
        <v>15460</v>
      </c>
      <c r="K668" s="218">
        <f t="shared" si="59"/>
        <v>100</v>
      </c>
      <c r="L668" s="279"/>
      <c r="M668" s="285"/>
      <c r="N668" s="18"/>
      <c r="O668" s="218"/>
      <c r="P668" s="279"/>
      <c r="Q668" s="285">
        <f t="shared" si="63"/>
        <v>15460</v>
      </c>
      <c r="R668" s="18">
        <f t="shared" si="63"/>
        <v>15460</v>
      </c>
      <c r="S668" s="219">
        <f t="shared" si="60"/>
        <v>100</v>
      </c>
    </row>
    <row r="669" spans="2:19" x14ac:dyDescent="0.2">
      <c r="B669" s="78">
        <f t="shared" si="61"/>
        <v>96</v>
      </c>
      <c r="C669" s="3"/>
      <c r="D669" s="3"/>
      <c r="E669" s="3"/>
      <c r="F669" s="25" t="s">
        <v>203</v>
      </c>
      <c r="G669" s="3">
        <v>635</v>
      </c>
      <c r="H669" s="3" t="s">
        <v>145</v>
      </c>
      <c r="I669" s="18">
        <f>3100+3760+5000</f>
        <v>11860</v>
      </c>
      <c r="J669" s="18">
        <v>11860</v>
      </c>
      <c r="K669" s="218">
        <f t="shared" si="59"/>
        <v>100</v>
      </c>
      <c r="L669" s="279"/>
      <c r="M669" s="285"/>
      <c r="N669" s="18"/>
      <c r="O669" s="218"/>
      <c r="P669" s="279"/>
      <c r="Q669" s="285">
        <f t="shared" si="63"/>
        <v>11860</v>
      </c>
      <c r="R669" s="18">
        <f t="shared" si="63"/>
        <v>11860</v>
      </c>
      <c r="S669" s="219">
        <f t="shared" si="60"/>
        <v>100</v>
      </c>
    </row>
    <row r="670" spans="2:19" x14ac:dyDescent="0.2">
      <c r="B670" s="78">
        <f t="shared" si="61"/>
        <v>97</v>
      </c>
      <c r="C670" s="3"/>
      <c r="D670" s="3"/>
      <c r="E670" s="3"/>
      <c r="F670" s="25" t="s">
        <v>203</v>
      </c>
      <c r="G670" s="3">
        <v>637</v>
      </c>
      <c r="H670" s="3" t="s">
        <v>134</v>
      </c>
      <c r="I670" s="18">
        <f>4780+200+660</f>
        <v>5640</v>
      </c>
      <c r="J670" s="18">
        <v>5640</v>
      </c>
      <c r="K670" s="218">
        <f t="shared" si="59"/>
        <v>100</v>
      </c>
      <c r="L670" s="279"/>
      <c r="M670" s="285"/>
      <c r="N670" s="18"/>
      <c r="O670" s="218"/>
      <c r="P670" s="279"/>
      <c r="Q670" s="285">
        <f t="shared" si="63"/>
        <v>5640</v>
      </c>
      <c r="R670" s="18">
        <f t="shared" si="63"/>
        <v>5640</v>
      </c>
      <c r="S670" s="219">
        <f t="shared" si="60"/>
        <v>100</v>
      </c>
    </row>
    <row r="671" spans="2:19" x14ac:dyDescent="0.2">
      <c r="B671" s="78">
        <f t="shared" si="61"/>
        <v>98</v>
      </c>
      <c r="C671" s="7"/>
      <c r="D671" s="7"/>
      <c r="E671" s="7"/>
      <c r="F671" s="24" t="s">
        <v>203</v>
      </c>
      <c r="G671" s="7">
        <v>640</v>
      </c>
      <c r="H671" s="7" t="s">
        <v>141</v>
      </c>
      <c r="I671" s="22">
        <v>2722</v>
      </c>
      <c r="J671" s="22">
        <v>2366</v>
      </c>
      <c r="K671" s="218">
        <f t="shared" si="59"/>
        <v>86.921381337252029</v>
      </c>
      <c r="L671" s="278"/>
      <c r="M671" s="284"/>
      <c r="N671" s="22"/>
      <c r="O671" s="218"/>
      <c r="P671" s="278"/>
      <c r="Q671" s="284">
        <f t="shared" si="63"/>
        <v>2722</v>
      </c>
      <c r="R671" s="22">
        <f t="shared" si="63"/>
        <v>2366</v>
      </c>
      <c r="S671" s="219">
        <f t="shared" si="60"/>
        <v>86.921381337252029</v>
      </c>
    </row>
    <row r="672" spans="2:19" x14ac:dyDescent="0.2">
      <c r="B672" s="78">
        <f t="shared" si="61"/>
        <v>99</v>
      </c>
      <c r="C672" s="7"/>
      <c r="D672" s="7"/>
      <c r="E672" s="7"/>
      <c r="F672" s="24" t="s">
        <v>203</v>
      </c>
      <c r="G672" s="7">
        <v>710</v>
      </c>
      <c r="H672" s="7" t="s">
        <v>188</v>
      </c>
      <c r="I672" s="22"/>
      <c r="J672" s="22"/>
      <c r="K672" s="218"/>
      <c r="L672" s="278"/>
      <c r="M672" s="284">
        <f t="shared" ref="M672:R673" si="65">M673</f>
        <v>45600</v>
      </c>
      <c r="N672" s="22">
        <f t="shared" si="65"/>
        <v>0</v>
      </c>
      <c r="O672" s="218">
        <f t="shared" si="64"/>
        <v>0</v>
      </c>
      <c r="P672" s="278"/>
      <c r="Q672" s="284">
        <f t="shared" si="65"/>
        <v>45600</v>
      </c>
      <c r="R672" s="22">
        <f t="shared" si="65"/>
        <v>0</v>
      </c>
      <c r="S672" s="219">
        <f t="shared" si="60"/>
        <v>0</v>
      </c>
    </row>
    <row r="673" spans="2:19" x14ac:dyDescent="0.2">
      <c r="B673" s="78">
        <f t="shared" si="61"/>
        <v>100</v>
      </c>
      <c r="C673" s="7"/>
      <c r="D673" s="7"/>
      <c r="E673" s="7"/>
      <c r="F673" s="25" t="s">
        <v>203</v>
      </c>
      <c r="G673" s="3">
        <v>716</v>
      </c>
      <c r="H673" s="3" t="s">
        <v>231</v>
      </c>
      <c r="I673" s="22"/>
      <c r="J673" s="22"/>
      <c r="K673" s="218"/>
      <c r="L673" s="278"/>
      <c r="M673" s="300">
        <f t="shared" si="65"/>
        <v>45600</v>
      </c>
      <c r="N673" s="19">
        <f t="shared" si="65"/>
        <v>0</v>
      </c>
      <c r="O673" s="218">
        <f t="shared" si="64"/>
        <v>0</v>
      </c>
      <c r="P673" s="279"/>
      <c r="Q673" s="300">
        <f t="shared" si="65"/>
        <v>45600</v>
      </c>
      <c r="R673" s="19">
        <f t="shared" si="65"/>
        <v>0</v>
      </c>
      <c r="S673" s="219">
        <f t="shared" si="60"/>
        <v>0</v>
      </c>
    </row>
    <row r="674" spans="2:19" x14ac:dyDescent="0.2">
      <c r="B674" s="78">
        <f t="shared" si="61"/>
        <v>101</v>
      </c>
      <c r="C674" s="7"/>
      <c r="D674" s="7"/>
      <c r="E674" s="7"/>
      <c r="F674" s="26"/>
      <c r="G674" s="4"/>
      <c r="H674" s="4" t="s">
        <v>638</v>
      </c>
      <c r="I674" s="197"/>
      <c r="J674" s="197"/>
      <c r="K674" s="218"/>
      <c r="L674" s="342"/>
      <c r="M674" s="298">
        <v>45600</v>
      </c>
      <c r="N674" s="21">
        <v>0</v>
      </c>
      <c r="O674" s="218">
        <f t="shared" si="64"/>
        <v>0</v>
      </c>
      <c r="P674" s="280"/>
      <c r="Q674" s="298">
        <f>M674</f>
        <v>45600</v>
      </c>
      <c r="R674" s="21">
        <f>N674</f>
        <v>0</v>
      </c>
      <c r="S674" s="219">
        <f t="shared" si="60"/>
        <v>0</v>
      </c>
    </row>
    <row r="675" spans="2:19" x14ac:dyDescent="0.2">
      <c r="B675" s="78">
        <f t="shared" si="61"/>
        <v>102</v>
      </c>
      <c r="C675" s="6"/>
      <c r="D675" s="6"/>
      <c r="E675" s="6" t="s">
        <v>111</v>
      </c>
      <c r="F675" s="28"/>
      <c r="G675" s="6"/>
      <c r="H675" s="6" t="s">
        <v>112</v>
      </c>
      <c r="I675" s="39">
        <f>I676+I677+I678+I683</f>
        <v>202056</v>
      </c>
      <c r="J675" s="39">
        <f>J676+J677+J678+J683</f>
        <v>201533</v>
      </c>
      <c r="K675" s="218">
        <f t="shared" si="59"/>
        <v>99.741160866294493</v>
      </c>
      <c r="L675" s="278"/>
      <c r="M675" s="343">
        <v>0</v>
      </c>
      <c r="N675" s="39">
        <v>0</v>
      </c>
      <c r="O675" s="218"/>
      <c r="P675" s="278"/>
      <c r="Q675" s="343">
        <f t="shared" si="63"/>
        <v>202056</v>
      </c>
      <c r="R675" s="39">
        <f t="shared" si="63"/>
        <v>201533</v>
      </c>
      <c r="S675" s="219">
        <f t="shared" si="60"/>
        <v>99.741160866294493</v>
      </c>
    </row>
    <row r="676" spans="2:19" x14ac:dyDescent="0.2">
      <c r="B676" s="78">
        <f t="shared" si="61"/>
        <v>103</v>
      </c>
      <c r="C676" s="7"/>
      <c r="D676" s="7"/>
      <c r="E676" s="7"/>
      <c r="F676" s="24" t="s">
        <v>203</v>
      </c>
      <c r="G676" s="7">
        <v>610</v>
      </c>
      <c r="H676" s="7" t="s">
        <v>143</v>
      </c>
      <c r="I676" s="22">
        <f>117000+7744-1699</f>
        <v>123045</v>
      </c>
      <c r="J676" s="22">
        <v>123044</v>
      </c>
      <c r="K676" s="218">
        <f t="shared" si="59"/>
        <v>99.999187289203135</v>
      </c>
      <c r="L676" s="278"/>
      <c r="M676" s="284"/>
      <c r="N676" s="22"/>
      <c r="O676" s="218"/>
      <c r="P676" s="278"/>
      <c r="Q676" s="284">
        <f t="shared" si="63"/>
        <v>123045</v>
      </c>
      <c r="R676" s="22">
        <f t="shared" si="63"/>
        <v>123044</v>
      </c>
      <c r="S676" s="219">
        <f t="shared" si="60"/>
        <v>99.999187289203135</v>
      </c>
    </row>
    <row r="677" spans="2:19" x14ac:dyDescent="0.2">
      <c r="B677" s="78">
        <f t="shared" si="61"/>
        <v>104</v>
      </c>
      <c r="C677" s="7"/>
      <c r="D677" s="7"/>
      <c r="E677" s="7"/>
      <c r="F677" s="24" t="s">
        <v>203</v>
      </c>
      <c r="G677" s="7">
        <v>620</v>
      </c>
      <c r="H677" s="7" t="s">
        <v>136</v>
      </c>
      <c r="I677" s="22">
        <f>43738+2861-601</f>
        <v>45998</v>
      </c>
      <c r="J677" s="22">
        <v>45993</v>
      </c>
      <c r="K677" s="218">
        <f t="shared" si="59"/>
        <v>99.989129962172257</v>
      </c>
      <c r="L677" s="278"/>
      <c r="M677" s="284"/>
      <c r="N677" s="22"/>
      <c r="O677" s="218"/>
      <c r="P677" s="278"/>
      <c r="Q677" s="284">
        <f t="shared" si="63"/>
        <v>45998</v>
      </c>
      <c r="R677" s="22">
        <f t="shared" si="63"/>
        <v>45993</v>
      </c>
      <c r="S677" s="219">
        <f t="shared" si="60"/>
        <v>99.989129962172257</v>
      </c>
    </row>
    <row r="678" spans="2:19" x14ac:dyDescent="0.2">
      <c r="B678" s="78">
        <f t="shared" si="61"/>
        <v>105</v>
      </c>
      <c r="C678" s="7"/>
      <c r="D678" s="7"/>
      <c r="E678" s="7"/>
      <c r="F678" s="24" t="s">
        <v>203</v>
      </c>
      <c r="G678" s="7">
        <v>630</v>
      </c>
      <c r="H678" s="7" t="s">
        <v>133</v>
      </c>
      <c r="I678" s="22">
        <f>SUM(I679:I682)</f>
        <v>31349</v>
      </c>
      <c r="J678" s="22">
        <f>SUM(J679:J682)</f>
        <v>31347</v>
      </c>
      <c r="K678" s="218">
        <f t="shared" si="59"/>
        <v>99.993620211171006</v>
      </c>
      <c r="L678" s="278"/>
      <c r="M678" s="284"/>
      <c r="N678" s="22"/>
      <c r="O678" s="218"/>
      <c r="P678" s="278"/>
      <c r="Q678" s="284">
        <f t="shared" si="63"/>
        <v>31349</v>
      </c>
      <c r="R678" s="22">
        <f t="shared" si="63"/>
        <v>31347</v>
      </c>
      <c r="S678" s="219">
        <f t="shared" si="60"/>
        <v>99.993620211171006</v>
      </c>
    </row>
    <row r="679" spans="2:19" x14ac:dyDescent="0.2">
      <c r="B679" s="78">
        <f t="shared" si="61"/>
        <v>106</v>
      </c>
      <c r="C679" s="3"/>
      <c r="D679" s="3"/>
      <c r="E679" s="3"/>
      <c r="F679" s="25" t="s">
        <v>203</v>
      </c>
      <c r="G679" s="3">
        <v>632</v>
      </c>
      <c r="H679" s="3" t="s">
        <v>146</v>
      </c>
      <c r="I679" s="18">
        <f>14550-2000</f>
        <v>12550</v>
      </c>
      <c r="J679" s="18">
        <v>12549</v>
      </c>
      <c r="K679" s="218">
        <f t="shared" si="59"/>
        <v>99.992031872509955</v>
      </c>
      <c r="L679" s="279"/>
      <c r="M679" s="285"/>
      <c r="N679" s="18"/>
      <c r="O679" s="218"/>
      <c r="P679" s="279"/>
      <c r="Q679" s="285">
        <f t="shared" si="63"/>
        <v>12550</v>
      </c>
      <c r="R679" s="18">
        <f t="shared" si="63"/>
        <v>12549</v>
      </c>
      <c r="S679" s="219">
        <f t="shared" si="60"/>
        <v>99.992031872509955</v>
      </c>
    </row>
    <row r="680" spans="2:19" x14ac:dyDescent="0.2">
      <c r="B680" s="78">
        <f t="shared" si="61"/>
        <v>107</v>
      </c>
      <c r="C680" s="3"/>
      <c r="D680" s="3"/>
      <c r="E680" s="3"/>
      <c r="F680" s="25" t="s">
        <v>203</v>
      </c>
      <c r="G680" s="3">
        <v>633</v>
      </c>
      <c r="H680" s="3" t="s">
        <v>137</v>
      </c>
      <c r="I680" s="18">
        <f>7764+2852-572</f>
        <v>10044</v>
      </c>
      <c r="J680" s="18">
        <v>10043</v>
      </c>
      <c r="K680" s="218">
        <f t="shared" si="59"/>
        <v>99.990043807248114</v>
      </c>
      <c r="L680" s="279"/>
      <c r="M680" s="285"/>
      <c r="N680" s="18"/>
      <c r="O680" s="218"/>
      <c r="P680" s="279"/>
      <c r="Q680" s="285">
        <f t="shared" si="63"/>
        <v>10044</v>
      </c>
      <c r="R680" s="18">
        <f t="shared" si="63"/>
        <v>10043</v>
      </c>
      <c r="S680" s="219">
        <f t="shared" si="60"/>
        <v>99.990043807248114</v>
      </c>
    </row>
    <row r="681" spans="2:19" x14ac:dyDescent="0.2">
      <c r="B681" s="78">
        <f t="shared" si="61"/>
        <v>108</v>
      </c>
      <c r="C681" s="3"/>
      <c r="D681" s="3"/>
      <c r="E681" s="3"/>
      <c r="F681" s="25" t="s">
        <v>203</v>
      </c>
      <c r="G681" s="3">
        <v>635</v>
      </c>
      <c r="H681" s="3" t="s">
        <v>145</v>
      </c>
      <c r="I681" s="18">
        <f>1700+2500</f>
        <v>4200</v>
      </c>
      <c r="J681" s="18">
        <v>4200</v>
      </c>
      <c r="K681" s="218">
        <f t="shared" si="59"/>
        <v>100</v>
      </c>
      <c r="L681" s="279"/>
      <c r="M681" s="285"/>
      <c r="N681" s="18"/>
      <c r="O681" s="218"/>
      <c r="P681" s="279"/>
      <c r="Q681" s="285">
        <f t="shared" si="63"/>
        <v>4200</v>
      </c>
      <c r="R681" s="18">
        <f t="shared" si="63"/>
        <v>4200</v>
      </c>
      <c r="S681" s="219">
        <f t="shared" si="60"/>
        <v>100</v>
      </c>
    </row>
    <row r="682" spans="2:19" x14ac:dyDescent="0.2">
      <c r="B682" s="78">
        <f t="shared" si="61"/>
        <v>109</v>
      </c>
      <c r="C682" s="3"/>
      <c r="D682" s="3"/>
      <c r="E682" s="3"/>
      <c r="F682" s="25" t="s">
        <v>203</v>
      </c>
      <c r="G682" s="3">
        <v>637</v>
      </c>
      <c r="H682" s="3" t="s">
        <v>134</v>
      </c>
      <c r="I682" s="18">
        <f>4450+105</f>
        <v>4555</v>
      </c>
      <c r="J682" s="18">
        <v>4555</v>
      </c>
      <c r="K682" s="218">
        <f t="shared" si="59"/>
        <v>100</v>
      </c>
      <c r="L682" s="279"/>
      <c r="M682" s="285"/>
      <c r="N682" s="18"/>
      <c r="O682" s="218"/>
      <c r="P682" s="279"/>
      <c r="Q682" s="285">
        <f t="shared" si="63"/>
        <v>4555</v>
      </c>
      <c r="R682" s="18">
        <f t="shared" si="63"/>
        <v>4555</v>
      </c>
      <c r="S682" s="219">
        <f t="shared" si="60"/>
        <v>100</v>
      </c>
    </row>
    <row r="683" spans="2:19" x14ac:dyDescent="0.2">
      <c r="B683" s="78">
        <f t="shared" si="61"/>
        <v>110</v>
      </c>
      <c r="C683" s="7"/>
      <c r="D683" s="7"/>
      <c r="E683" s="7"/>
      <c r="F683" s="24" t="s">
        <v>203</v>
      </c>
      <c r="G683" s="7">
        <v>640</v>
      </c>
      <c r="H683" s="7" t="s">
        <v>141</v>
      </c>
      <c r="I683" s="22">
        <v>1664</v>
      </c>
      <c r="J683" s="22">
        <v>1149</v>
      </c>
      <c r="K683" s="218">
        <f t="shared" si="59"/>
        <v>69.050480769230774</v>
      </c>
      <c r="L683" s="278"/>
      <c r="M683" s="284"/>
      <c r="N683" s="22"/>
      <c r="O683" s="218"/>
      <c r="P683" s="278"/>
      <c r="Q683" s="284">
        <f t="shared" si="63"/>
        <v>1664</v>
      </c>
      <c r="R683" s="22">
        <f t="shared" si="63"/>
        <v>1149</v>
      </c>
      <c r="S683" s="219">
        <f t="shared" si="60"/>
        <v>69.050480769230774</v>
      </c>
    </row>
    <row r="684" spans="2:19" x14ac:dyDescent="0.2">
      <c r="B684" s="78">
        <f t="shared" si="61"/>
        <v>111</v>
      </c>
      <c r="C684" s="6"/>
      <c r="D684" s="6"/>
      <c r="E684" s="6" t="s">
        <v>110</v>
      </c>
      <c r="F684" s="28"/>
      <c r="G684" s="6"/>
      <c r="H684" s="6" t="s">
        <v>67</v>
      </c>
      <c r="I684" s="39">
        <f>I685+I686+I687+I692</f>
        <v>304750</v>
      </c>
      <c r="J684" s="39">
        <f>J685+J686+J687+J692</f>
        <v>302794</v>
      </c>
      <c r="K684" s="218">
        <f t="shared" si="59"/>
        <v>99.358162428219856</v>
      </c>
      <c r="L684" s="278"/>
      <c r="M684" s="343">
        <f>M693</f>
        <v>946467</v>
      </c>
      <c r="N684" s="39">
        <f>N693</f>
        <v>930887</v>
      </c>
      <c r="O684" s="218">
        <f t="shared" si="64"/>
        <v>98.353878159513215</v>
      </c>
      <c r="P684" s="278"/>
      <c r="Q684" s="343">
        <f t="shared" si="63"/>
        <v>1251217</v>
      </c>
      <c r="R684" s="39">
        <f t="shared" si="63"/>
        <v>1233681</v>
      </c>
      <c r="S684" s="219">
        <f t="shared" si="60"/>
        <v>98.598484515475732</v>
      </c>
    </row>
    <row r="685" spans="2:19" x14ac:dyDescent="0.2">
      <c r="B685" s="78">
        <f t="shared" si="61"/>
        <v>112</v>
      </c>
      <c r="C685" s="7"/>
      <c r="D685" s="7"/>
      <c r="E685" s="7"/>
      <c r="F685" s="24" t="s">
        <v>203</v>
      </c>
      <c r="G685" s="7">
        <v>610</v>
      </c>
      <c r="H685" s="7" t="s">
        <v>143</v>
      </c>
      <c r="I685" s="22">
        <f>148408+10517-2332+1290</f>
        <v>157883</v>
      </c>
      <c r="J685" s="22">
        <v>157883</v>
      </c>
      <c r="K685" s="218">
        <f t="shared" si="59"/>
        <v>100</v>
      </c>
      <c r="L685" s="278"/>
      <c r="M685" s="284"/>
      <c r="N685" s="22"/>
      <c r="O685" s="218"/>
      <c r="P685" s="278"/>
      <c r="Q685" s="284">
        <f t="shared" si="63"/>
        <v>157883</v>
      </c>
      <c r="R685" s="22">
        <f t="shared" si="63"/>
        <v>157883</v>
      </c>
      <c r="S685" s="219">
        <f t="shared" si="60"/>
        <v>100</v>
      </c>
    </row>
    <row r="686" spans="2:19" x14ac:dyDescent="0.2">
      <c r="B686" s="78">
        <f t="shared" si="61"/>
        <v>113</v>
      </c>
      <c r="C686" s="7"/>
      <c r="D686" s="7"/>
      <c r="E686" s="7"/>
      <c r="F686" s="24" t="s">
        <v>203</v>
      </c>
      <c r="G686" s="7">
        <v>620</v>
      </c>
      <c r="H686" s="7" t="s">
        <v>136</v>
      </c>
      <c r="I686" s="22">
        <f>55513+3886-815+460</f>
        <v>59044</v>
      </c>
      <c r="J686" s="22">
        <v>59040</v>
      </c>
      <c r="K686" s="218">
        <f t="shared" si="59"/>
        <v>99.993225391233651</v>
      </c>
      <c r="L686" s="278"/>
      <c r="M686" s="284"/>
      <c r="N686" s="22"/>
      <c r="O686" s="218"/>
      <c r="P686" s="278"/>
      <c r="Q686" s="284">
        <f t="shared" si="63"/>
        <v>59044</v>
      </c>
      <c r="R686" s="22">
        <f t="shared" si="63"/>
        <v>59040</v>
      </c>
      <c r="S686" s="219">
        <f t="shared" si="60"/>
        <v>99.993225391233651</v>
      </c>
    </row>
    <row r="687" spans="2:19" x14ac:dyDescent="0.2">
      <c r="B687" s="78">
        <f t="shared" si="61"/>
        <v>114</v>
      </c>
      <c r="C687" s="7"/>
      <c r="D687" s="7"/>
      <c r="E687" s="7"/>
      <c r="F687" s="24" t="s">
        <v>203</v>
      </c>
      <c r="G687" s="7">
        <v>630</v>
      </c>
      <c r="H687" s="7" t="s">
        <v>133</v>
      </c>
      <c r="I687" s="22">
        <f>SUM(I688:I691)</f>
        <v>85671</v>
      </c>
      <c r="J687" s="22">
        <f>SUM(J688:J691)</f>
        <v>85620</v>
      </c>
      <c r="K687" s="218">
        <f t="shared" si="59"/>
        <v>99.94046993731834</v>
      </c>
      <c r="L687" s="278"/>
      <c r="M687" s="284"/>
      <c r="N687" s="22"/>
      <c r="O687" s="218"/>
      <c r="P687" s="278"/>
      <c r="Q687" s="284">
        <f t="shared" si="63"/>
        <v>85671</v>
      </c>
      <c r="R687" s="22">
        <f t="shared" si="63"/>
        <v>85620</v>
      </c>
      <c r="S687" s="219">
        <f t="shared" si="60"/>
        <v>99.94046993731834</v>
      </c>
    </row>
    <row r="688" spans="2:19" x14ac:dyDescent="0.2">
      <c r="B688" s="78">
        <f t="shared" si="61"/>
        <v>115</v>
      </c>
      <c r="C688" s="3"/>
      <c r="D688" s="3"/>
      <c r="E688" s="3"/>
      <c r="F688" s="25" t="s">
        <v>203</v>
      </c>
      <c r="G688" s="3">
        <v>632</v>
      </c>
      <c r="H688" s="3" t="s">
        <v>146</v>
      </c>
      <c r="I688" s="18">
        <f>38020+2960</f>
        <v>40980</v>
      </c>
      <c r="J688" s="18">
        <v>40980</v>
      </c>
      <c r="K688" s="218">
        <f t="shared" si="59"/>
        <v>100</v>
      </c>
      <c r="L688" s="279"/>
      <c r="M688" s="285"/>
      <c r="N688" s="18"/>
      <c r="O688" s="218"/>
      <c r="P688" s="279"/>
      <c r="Q688" s="285">
        <f t="shared" si="63"/>
        <v>40980</v>
      </c>
      <c r="R688" s="18">
        <f t="shared" si="63"/>
        <v>40980</v>
      </c>
      <c r="S688" s="219">
        <f t="shared" si="60"/>
        <v>100</v>
      </c>
    </row>
    <row r="689" spans="2:19" x14ac:dyDescent="0.2">
      <c r="B689" s="78">
        <f t="shared" si="61"/>
        <v>116</v>
      </c>
      <c r="C689" s="3"/>
      <c r="D689" s="3"/>
      <c r="E689" s="3"/>
      <c r="F689" s="25" t="s">
        <v>203</v>
      </c>
      <c r="G689" s="3">
        <v>633</v>
      </c>
      <c r="H689" s="3" t="s">
        <v>137</v>
      </c>
      <c r="I689" s="18">
        <f>18808+3147+2149</f>
        <v>24104</v>
      </c>
      <c r="J689" s="18">
        <v>24055</v>
      </c>
      <c r="K689" s="218">
        <f t="shared" si="59"/>
        <v>99.796714238300694</v>
      </c>
      <c r="L689" s="279"/>
      <c r="M689" s="285"/>
      <c r="N689" s="18"/>
      <c r="O689" s="218"/>
      <c r="P689" s="279"/>
      <c r="Q689" s="285">
        <f t="shared" si="63"/>
        <v>24104</v>
      </c>
      <c r="R689" s="18">
        <f t="shared" si="63"/>
        <v>24055</v>
      </c>
      <c r="S689" s="219">
        <f t="shared" si="60"/>
        <v>99.796714238300694</v>
      </c>
    </row>
    <row r="690" spans="2:19" x14ac:dyDescent="0.2">
      <c r="B690" s="78">
        <f t="shared" si="61"/>
        <v>117</v>
      </c>
      <c r="C690" s="3"/>
      <c r="D690" s="3"/>
      <c r="E690" s="3"/>
      <c r="F690" s="25" t="s">
        <v>203</v>
      </c>
      <c r="G690" s="3">
        <v>635</v>
      </c>
      <c r="H690" s="3" t="s">
        <v>145</v>
      </c>
      <c r="I690" s="18">
        <f>5800+5344+4768</f>
        <v>15912</v>
      </c>
      <c r="J690" s="18">
        <v>15912</v>
      </c>
      <c r="K690" s="218">
        <f t="shared" si="59"/>
        <v>100</v>
      </c>
      <c r="L690" s="279"/>
      <c r="M690" s="285"/>
      <c r="N690" s="18"/>
      <c r="O690" s="218"/>
      <c r="P690" s="279"/>
      <c r="Q690" s="285">
        <f t="shared" si="63"/>
        <v>15912</v>
      </c>
      <c r="R690" s="18">
        <f t="shared" si="63"/>
        <v>15912</v>
      </c>
      <c r="S690" s="219">
        <f t="shared" si="60"/>
        <v>100</v>
      </c>
    </row>
    <row r="691" spans="2:19" x14ac:dyDescent="0.2">
      <c r="B691" s="78">
        <f t="shared" si="61"/>
        <v>118</v>
      </c>
      <c r="C691" s="3"/>
      <c r="D691" s="3"/>
      <c r="E691" s="3"/>
      <c r="F691" s="25" t="s">
        <v>203</v>
      </c>
      <c r="G691" s="3">
        <v>637</v>
      </c>
      <c r="H691" s="3" t="s">
        <v>134</v>
      </c>
      <c r="I691" s="18">
        <f>4115+105+455</f>
        <v>4675</v>
      </c>
      <c r="J691" s="18">
        <v>4673</v>
      </c>
      <c r="K691" s="218">
        <f t="shared" si="59"/>
        <v>99.957219251336895</v>
      </c>
      <c r="L691" s="279"/>
      <c r="M691" s="285"/>
      <c r="N691" s="18"/>
      <c r="O691" s="218"/>
      <c r="P691" s="279"/>
      <c r="Q691" s="285">
        <f t="shared" si="63"/>
        <v>4675</v>
      </c>
      <c r="R691" s="18">
        <f t="shared" si="63"/>
        <v>4673</v>
      </c>
      <c r="S691" s="219">
        <f t="shared" si="60"/>
        <v>99.957219251336895</v>
      </c>
    </row>
    <row r="692" spans="2:19" x14ac:dyDescent="0.2">
      <c r="B692" s="78">
        <f t="shared" si="61"/>
        <v>119</v>
      </c>
      <c r="C692" s="7"/>
      <c r="D692" s="7"/>
      <c r="E692" s="7"/>
      <c r="F692" s="24" t="s">
        <v>203</v>
      </c>
      <c r="G692" s="7">
        <v>640</v>
      </c>
      <c r="H692" s="7" t="s">
        <v>141</v>
      </c>
      <c r="I692" s="22">
        <v>2152</v>
      </c>
      <c r="J692" s="22">
        <v>251</v>
      </c>
      <c r="K692" s="218">
        <f t="shared" si="59"/>
        <v>11.6635687732342</v>
      </c>
      <c r="L692" s="278"/>
      <c r="M692" s="284"/>
      <c r="N692" s="22"/>
      <c r="O692" s="218"/>
      <c r="P692" s="278"/>
      <c r="Q692" s="284">
        <f t="shared" si="63"/>
        <v>2152</v>
      </c>
      <c r="R692" s="22">
        <f t="shared" si="63"/>
        <v>251</v>
      </c>
      <c r="S692" s="219">
        <f t="shared" si="60"/>
        <v>11.6635687732342</v>
      </c>
    </row>
    <row r="693" spans="2:19" x14ac:dyDescent="0.2">
      <c r="B693" s="78">
        <f t="shared" si="61"/>
        <v>120</v>
      </c>
      <c r="C693" s="7"/>
      <c r="D693" s="7"/>
      <c r="E693" s="7"/>
      <c r="F693" s="24" t="s">
        <v>203</v>
      </c>
      <c r="G693" s="7">
        <v>710</v>
      </c>
      <c r="H693" s="7" t="s">
        <v>188</v>
      </c>
      <c r="I693" s="22"/>
      <c r="J693" s="22"/>
      <c r="K693" s="218"/>
      <c r="L693" s="278"/>
      <c r="M693" s="284">
        <f>M694</f>
        <v>946467</v>
      </c>
      <c r="N693" s="22">
        <f>N694</f>
        <v>930887</v>
      </c>
      <c r="O693" s="218">
        <f t="shared" si="64"/>
        <v>98.353878159513215</v>
      </c>
      <c r="P693" s="278"/>
      <c r="Q693" s="284">
        <f t="shared" si="63"/>
        <v>946467</v>
      </c>
      <c r="R693" s="22">
        <f t="shared" si="63"/>
        <v>930887</v>
      </c>
      <c r="S693" s="219">
        <f t="shared" si="60"/>
        <v>98.353878159513215</v>
      </c>
    </row>
    <row r="694" spans="2:19" x14ac:dyDescent="0.2">
      <c r="B694" s="78">
        <f t="shared" si="61"/>
        <v>121</v>
      </c>
      <c r="C694" s="3"/>
      <c r="D694" s="3"/>
      <c r="E694" s="3"/>
      <c r="F694" s="25" t="s">
        <v>203</v>
      </c>
      <c r="G694" s="3">
        <v>717</v>
      </c>
      <c r="H694" s="3" t="s">
        <v>198</v>
      </c>
      <c r="I694" s="18"/>
      <c r="J694" s="18"/>
      <c r="K694" s="218"/>
      <c r="L694" s="279"/>
      <c r="M694" s="285">
        <f>M695+M696</f>
        <v>946467</v>
      </c>
      <c r="N694" s="18">
        <f>N695+N696</f>
        <v>930887</v>
      </c>
      <c r="O694" s="218">
        <f t="shared" si="64"/>
        <v>98.353878159513215</v>
      </c>
      <c r="P694" s="279"/>
      <c r="Q694" s="347">
        <f t="shared" si="63"/>
        <v>946467</v>
      </c>
      <c r="R694" s="348">
        <f t="shared" si="63"/>
        <v>930887</v>
      </c>
      <c r="S694" s="219">
        <f t="shared" si="60"/>
        <v>98.353878159513215</v>
      </c>
    </row>
    <row r="695" spans="2:19" x14ac:dyDescent="0.2">
      <c r="B695" s="78">
        <f t="shared" si="61"/>
        <v>122</v>
      </c>
      <c r="C695" s="4"/>
      <c r="D695" s="4"/>
      <c r="E695" s="4"/>
      <c r="F695" s="30"/>
      <c r="G695" s="4"/>
      <c r="H695" s="45" t="s">
        <v>366</v>
      </c>
      <c r="I695" s="20"/>
      <c r="J695" s="20"/>
      <c r="K695" s="218"/>
      <c r="L695" s="280"/>
      <c r="M695" s="286">
        <f>945907+10800-13240</f>
        <v>943467</v>
      </c>
      <c r="N695" s="20">
        <f>382338+15229+138223+351232+41321+1</f>
        <v>928344</v>
      </c>
      <c r="O695" s="218">
        <f t="shared" si="64"/>
        <v>98.39708225088954</v>
      </c>
      <c r="P695" s="280"/>
      <c r="Q695" s="298">
        <f t="shared" si="63"/>
        <v>943467</v>
      </c>
      <c r="R695" s="21">
        <f t="shared" si="63"/>
        <v>928344</v>
      </c>
      <c r="S695" s="219">
        <f t="shared" si="60"/>
        <v>98.39708225088954</v>
      </c>
    </row>
    <row r="696" spans="2:19" x14ac:dyDescent="0.2">
      <c r="B696" s="78">
        <f t="shared" si="61"/>
        <v>123</v>
      </c>
      <c r="C696" s="4"/>
      <c r="D696" s="4"/>
      <c r="E696" s="4"/>
      <c r="F696" s="30"/>
      <c r="G696" s="4"/>
      <c r="H696" s="45" t="s">
        <v>601</v>
      </c>
      <c r="I696" s="20"/>
      <c r="J696" s="20"/>
      <c r="K696" s="218"/>
      <c r="L696" s="280"/>
      <c r="M696" s="286">
        <v>3000</v>
      </c>
      <c r="N696" s="21">
        <v>2543</v>
      </c>
      <c r="O696" s="218">
        <f t="shared" si="64"/>
        <v>84.766666666666666</v>
      </c>
      <c r="P696" s="280"/>
      <c r="Q696" s="298">
        <f t="shared" si="63"/>
        <v>3000</v>
      </c>
      <c r="R696" s="21">
        <f t="shared" si="63"/>
        <v>2543</v>
      </c>
      <c r="S696" s="219">
        <f t="shared" si="60"/>
        <v>84.766666666666666</v>
      </c>
    </row>
    <row r="697" spans="2:19" x14ac:dyDescent="0.2">
      <c r="B697" s="78">
        <f t="shared" si="61"/>
        <v>124</v>
      </c>
      <c r="C697" s="6"/>
      <c r="D697" s="6"/>
      <c r="E697" s="6" t="s">
        <v>106</v>
      </c>
      <c r="F697" s="28"/>
      <c r="G697" s="6"/>
      <c r="H697" s="6" t="s">
        <v>73</v>
      </c>
      <c r="I697" s="39">
        <f>I698+I699+I700+I705</f>
        <v>294860</v>
      </c>
      <c r="J697" s="39">
        <f>J698+J699+J700+J705</f>
        <v>294288</v>
      </c>
      <c r="K697" s="218">
        <f t="shared" si="59"/>
        <v>99.806009631689619</v>
      </c>
      <c r="L697" s="278"/>
      <c r="M697" s="343">
        <f>M706</f>
        <v>861784</v>
      </c>
      <c r="N697" s="39">
        <f>N706</f>
        <v>0</v>
      </c>
      <c r="O697" s="218">
        <f t="shared" si="64"/>
        <v>0</v>
      </c>
      <c r="P697" s="278"/>
      <c r="Q697" s="343">
        <f t="shared" si="63"/>
        <v>1156644</v>
      </c>
      <c r="R697" s="39">
        <f t="shared" si="63"/>
        <v>294288</v>
      </c>
      <c r="S697" s="219">
        <f t="shared" si="60"/>
        <v>25.443265170614293</v>
      </c>
    </row>
    <row r="698" spans="2:19" x14ac:dyDescent="0.2">
      <c r="B698" s="78">
        <f t="shared" si="61"/>
        <v>125</v>
      </c>
      <c r="C698" s="7"/>
      <c r="D698" s="7"/>
      <c r="E698" s="7"/>
      <c r="F698" s="24" t="s">
        <v>203</v>
      </c>
      <c r="G698" s="7">
        <v>610</v>
      </c>
      <c r="H698" s="7" t="s">
        <v>143</v>
      </c>
      <c r="I698" s="22">
        <f>165225+10174-3084</f>
        <v>172315</v>
      </c>
      <c r="J698" s="22">
        <v>172315</v>
      </c>
      <c r="K698" s="218">
        <f t="shared" si="59"/>
        <v>100</v>
      </c>
      <c r="L698" s="278"/>
      <c r="M698" s="284"/>
      <c r="N698" s="22"/>
      <c r="O698" s="218"/>
      <c r="P698" s="278"/>
      <c r="Q698" s="284">
        <f t="shared" si="63"/>
        <v>172315</v>
      </c>
      <c r="R698" s="22">
        <f t="shared" si="63"/>
        <v>172315</v>
      </c>
      <c r="S698" s="219">
        <f t="shared" si="60"/>
        <v>100</v>
      </c>
    </row>
    <row r="699" spans="2:19" x14ac:dyDescent="0.2">
      <c r="B699" s="78">
        <f t="shared" si="61"/>
        <v>126</v>
      </c>
      <c r="C699" s="7"/>
      <c r="D699" s="7"/>
      <c r="E699" s="7"/>
      <c r="F699" s="24" t="s">
        <v>203</v>
      </c>
      <c r="G699" s="7">
        <v>620</v>
      </c>
      <c r="H699" s="7" t="s">
        <v>136</v>
      </c>
      <c r="I699" s="22">
        <f>60917+3759-1086</f>
        <v>63590</v>
      </c>
      <c r="J699" s="22">
        <v>63590</v>
      </c>
      <c r="K699" s="218">
        <f t="shared" si="59"/>
        <v>100</v>
      </c>
      <c r="L699" s="278"/>
      <c r="M699" s="284"/>
      <c r="N699" s="22"/>
      <c r="O699" s="218"/>
      <c r="P699" s="278"/>
      <c r="Q699" s="284">
        <f t="shared" si="63"/>
        <v>63590</v>
      </c>
      <c r="R699" s="22">
        <f t="shared" si="63"/>
        <v>63590</v>
      </c>
      <c r="S699" s="219">
        <f t="shared" si="60"/>
        <v>100</v>
      </c>
    </row>
    <row r="700" spans="2:19" x14ac:dyDescent="0.2">
      <c r="B700" s="78">
        <f t="shared" si="61"/>
        <v>127</v>
      </c>
      <c r="C700" s="7"/>
      <c r="D700" s="7"/>
      <c r="E700" s="7"/>
      <c r="F700" s="24" t="s">
        <v>203</v>
      </c>
      <c r="G700" s="7">
        <v>630</v>
      </c>
      <c r="H700" s="7" t="s">
        <v>133</v>
      </c>
      <c r="I700" s="22">
        <f>SUM(I701:I704)</f>
        <v>57825</v>
      </c>
      <c r="J700" s="22">
        <f>SUM(J701:J704)</f>
        <v>57253</v>
      </c>
      <c r="K700" s="218">
        <f t="shared" ref="K700:K763" si="66">J700/I700*100</f>
        <v>99.010808473843497</v>
      </c>
      <c r="L700" s="278"/>
      <c r="M700" s="284"/>
      <c r="N700" s="22"/>
      <c r="O700" s="218"/>
      <c r="P700" s="278"/>
      <c r="Q700" s="284">
        <f t="shared" si="63"/>
        <v>57825</v>
      </c>
      <c r="R700" s="22">
        <f t="shared" si="63"/>
        <v>57253</v>
      </c>
      <c r="S700" s="219">
        <f t="shared" si="60"/>
        <v>99.010808473843497</v>
      </c>
    </row>
    <row r="701" spans="2:19" x14ac:dyDescent="0.2">
      <c r="B701" s="78">
        <f t="shared" si="61"/>
        <v>128</v>
      </c>
      <c r="C701" s="3"/>
      <c r="D701" s="3"/>
      <c r="E701" s="3"/>
      <c r="F701" s="25" t="s">
        <v>203</v>
      </c>
      <c r="G701" s="3">
        <v>632</v>
      </c>
      <c r="H701" s="3" t="s">
        <v>146</v>
      </c>
      <c r="I701" s="18">
        <v>27750</v>
      </c>
      <c r="J701" s="18">
        <v>27178</v>
      </c>
      <c r="K701" s="218">
        <f t="shared" si="66"/>
        <v>97.938738738738735</v>
      </c>
      <c r="L701" s="279"/>
      <c r="M701" s="285"/>
      <c r="N701" s="18"/>
      <c r="O701" s="218"/>
      <c r="P701" s="279"/>
      <c r="Q701" s="285">
        <f t="shared" si="63"/>
        <v>27750</v>
      </c>
      <c r="R701" s="18">
        <f t="shared" si="63"/>
        <v>27178</v>
      </c>
      <c r="S701" s="219">
        <f t="shared" si="60"/>
        <v>97.938738738738735</v>
      </c>
    </row>
    <row r="702" spans="2:19" x14ac:dyDescent="0.2">
      <c r="B702" s="78">
        <f t="shared" si="61"/>
        <v>129</v>
      </c>
      <c r="C702" s="3"/>
      <c r="D702" s="3"/>
      <c r="E702" s="3"/>
      <c r="F702" s="25" t="s">
        <v>203</v>
      </c>
      <c r="G702" s="3">
        <v>633</v>
      </c>
      <c r="H702" s="3" t="s">
        <v>137</v>
      </c>
      <c r="I702" s="18">
        <f>13624+4721-155</f>
        <v>18190</v>
      </c>
      <c r="J702" s="18">
        <v>18190</v>
      </c>
      <c r="K702" s="218">
        <f t="shared" si="66"/>
        <v>100</v>
      </c>
      <c r="L702" s="279"/>
      <c r="M702" s="285"/>
      <c r="N702" s="18"/>
      <c r="O702" s="218"/>
      <c r="P702" s="279"/>
      <c r="Q702" s="285">
        <f t="shared" si="63"/>
        <v>18190</v>
      </c>
      <c r="R702" s="18">
        <f t="shared" si="63"/>
        <v>18190</v>
      </c>
      <c r="S702" s="219">
        <f t="shared" ref="S702:S765" si="67">R702/Q702*100</f>
        <v>100</v>
      </c>
    </row>
    <row r="703" spans="2:19" x14ac:dyDescent="0.2">
      <c r="B703" s="78">
        <f t="shared" si="61"/>
        <v>130</v>
      </c>
      <c r="C703" s="3"/>
      <c r="D703" s="3"/>
      <c r="E703" s="3"/>
      <c r="F703" s="25" t="s">
        <v>203</v>
      </c>
      <c r="G703" s="3">
        <v>635</v>
      </c>
      <c r="H703" s="3" t="s">
        <v>145</v>
      </c>
      <c r="I703" s="18">
        <v>7150</v>
      </c>
      <c r="J703" s="18">
        <v>7150</v>
      </c>
      <c r="K703" s="218">
        <f t="shared" si="66"/>
        <v>100</v>
      </c>
      <c r="L703" s="279"/>
      <c r="M703" s="285"/>
      <c r="N703" s="18"/>
      <c r="O703" s="218"/>
      <c r="P703" s="279"/>
      <c r="Q703" s="285">
        <f t="shared" si="63"/>
        <v>7150</v>
      </c>
      <c r="R703" s="18">
        <f t="shared" si="63"/>
        <v>7150</v>
      </c>
      <c r="S703" s="219">
        <f t="shared" si="67"/>
        <v>100</v>
      </c>
    </row>
    <row r="704" spans="2:19" x14ac:dyDescent="0.2">
      <c r="B704" s="78">
        <f t="shared" si="61"/>
        <v>131</v>
      </c>
      <c r="C704" s="3"/>
      <c r="D704" s="3"/>
      <c r="E704" s="3"/>
      <c r="F704" s="25" t="s">
        <v>203</v>
      </c>
      <c r="G704" s="3">
        <v>637</v>
      </c>
      <c r="H704" s="3" t="s">
        <v>134</v>
      </c>
      <c r="I704" s="18">
        <f>4545+190</f>
        <v>4735</v>
      </c>
      <c r="J704" s="18">
        <v>4735</v>
      </c>
      <c r="K704" s="218">
        <f t="shared" si="66"/>
        <v>100</v>
      </c>
      <c r="L704" s="279"/>
      <c r="M704" s="285"/>
      <c r="N704" s="18"/>
      <c r="O704" s="218"/>
      <c r="P704" s="279"/>
      <c r="Q704" s="285">
        <f t="shared" si="63"/>
        <v>4735</v>
      </c>
      <c r="R704" s="18">
        <f t="shared" si="63"/>
        <v>4735</v>
      </c>
      <c r="S704" s="219">
        <f t="shared" si="67"/>
        <v>100</v>
      </c>
    </row>
    <row r="705" spans="2:19" x14ac:dyDescent="0.2">
      <c r="B705" s="78">
        <f t="shared" ref="B705:B768" si="68">B704+1</f>
        <v>132</v>
      </c>
      <c r="C705" s="3"/>
      <c r="D705" s="3"/>
      <c r="E705" s="3"/>
      <c r="F705" s="24" t="s">
        <v>203</v>
      </c>
      <c r="G705" s="7">
        <v>640</v>
      </c>
      <c r="H705" s="7" t="s">
        <v>141</v>
      </c>
      <c r="I705" s="22">
        <v>1130</v>
      </c>
      <c r="J705" s="22">
        <v>1130</v>
      </c>
      <c r="K705" s="218">
        <f t="shared" si="66"/>
        <v>100</v>
      </c>
      <c r="L705" s="278"/>
      <c r="M705" s="284"/>
      <c r="N705" s="22"/>
      <c r="O705" s="218"/>
      <c r="P705" s="278"/>
      <c r="Q705" s="284">
        <f t="shared" si="63"/>
        <v>1130</v>
      </c>
      <c r="R705" s="22">
        <f t="shared" si="63"/>
        <v>1130</v>
      </c>
      <c r="S705" s="219">
        <f t="shared" si="67"/>
        <v>100</v>
      </c>
    </row>
    <row r="706" spans="2:19" x14ac:dyDescent="0.2">
      <c r="B706" s="78">
        <f t="shared" si="68"/>
        <v>133</v>
      </c>
      <c r="C706" s="3"/>
      <c r="D706" s="3"/>
      <c r="E706" s="3"/>
      <c r="F706" s="24" t="s">
        <v>203</v>
      </c>
      <c r="G706" s="7">
        <v>710</v>
      </c>
      <c r="H706" s="7" t="s">
        <v>188</v>
      </c>
      <c r="I706" s="18"/>
      <c r="J706" s="18"/>
      <c r="K706" s="218"/>
      <c r="L706" s="279"/>
      <c r="M706" s="284">
        <f>M707+M709</f>
        <v>861784</v>
      </c>
      <c r="N706" s="22">
        <f>N707+N709</f>
        <v>0</v>
      </c>
      <c r="O706" s="218">
        <f t="shared" ref="O706:O753" si="69">N706/M706*100</f>
        <v>0</v>
      </c>
      <c r="P706" s="278"/>
      <c r="Q706" s="289">
        <f t="shared" ref="Q706:R710" si="70">M706</f>
        <v>861784</v>
      </c>
      <c r="R706" s="17">
        <f t="shared" si="70"/>
        <v>0</v>
      </c>
      <c r="S706" s="219">
        <f t="shared" si="67"/>
        <v>0</v>
      </c>
    </row>
    <row r="707" spans="2:19" x14ac:dyDescent="0.2">
      <c r="B707" s="78">
        <f t="shared" si="68"/>
        <v>134</v>
      </c>
      <c r="C707" s="3"/>
      <c r="D707" s="3"/>
      <c r="E707" s="3"/>
      <c r="F707" s="25" t="s">
        <v>203</v>
      </c>
      <c r="G707" s="3">
        <v>716</v>
      </c>
      <c r="H707" s="3" t="s">
        <v>231</v>
      </c>
      <c r="I707" s="18"/>
      <c r="J707" s="18"/>
      <c r="K707" s="218"/>
      <c r="L707" s="279"/>
      <c r="M707" s="285">
        <f>M708</f>
        <v>7750</v>
      </c>
      <c r="N707" s="18">
        <f>N708</f>
        <v>0</v>
      </c>
      <c r="O707" s="218">
        <f t="shared" si="69"/>
        <v>0</v>
      </c>
      <c r="P707" s="279"/>
      <c r="Q707" s="285">
        <f t="shared" si="70"/>
        <v>7750</v>
      </c>
      <c r="R707" s="18">
        <f t="shared" si="70"/>
        <v>0</v>
      </c>
      <c r="S707" s="219">
        <f t="shared" si="67"/>
        <v>0</v>
      </c>
    </row>
    <row r="708" spans="2:19" x14ac:dyDescent="0.2">
      <c r="B708" s="78">
        <f t="shared" si="68"/>
        <v>135</v>
      </c>
      <c r="C708" s="3"/>
      <c r="D708" s="3"/>
      <c r="E708" s="3"/>
      <c r="F708" s="30"/>
      <c r="G708" s="4"/>
      <c r="H708" s="45" t="s">
        <v>639</v>
      </c>
      <c r="I708" s="18"/>
      <c r="J708" s="18"/>
      <c r="K708" s="218"/>
      <c r="L708" s="279"/>
      <c r="M708" s="286">
        <v>7750</v>
      </c>
      <c r="N708" s="20"/>
      <c r="O708" s="218">
        <f t="shared" si="69"/>
        <v>0</v>
      </c>
      <c r="P708" s="280"/>
      <c r="Q708" s="285">
        <f t="shared" si="70"/>
        <v>7750</v>
      </c>
      <c r="R708" s="18">
        <f t="shared" si="70"/>
        <v>0</v>
      </c>
      <c r="S708" s="219">
        <f t="shared" si="67"/>
        <v>0</v>
      </c>
    </row>
    <row r="709" spans="2:19" x14ac:dyDescent="0.2">
      <c r="B709" s="78">
        <f t="shared" si="68"/>
        <v>136</v>
      </c>
      <c r="C709" s="3"/>
      <c r="D709" s="3"/>
      <c r="E709" s="3"/>
      <c r="F709" s="25"/>
      <c r="G709" s="3">
        <v>717</v>
      </c>
      <c r="H709" s="3" t="s">
        <v>198</v>
      </c>
      <c r="I709" s="18"/>
      <c r="J709" s="18"/>
      <c r="K709" s="218"/>
      <c r="L709" s="279"/>
      <c r="M709" s="285">
        <f>M710</f>
        <v>854034</v>
      </c>
      <c r="N709" s="18">
        <f>N710</f>
        <v>0</v>
      </c>
      <c r="O709" s="218">
        <f t="shared" si="69"/>
        <v>0</v>
      </c>
      <c r="P709" s="279"/>
      <c r="Q709" s="285">
        <f t="shared" si="70"/>
        <v>854034</v>
      </c>
      <c r="R709" s="18">
        <f t="shared" si="70"/>
        <v>0</v>
      </c>
      <c r="S709" s="219">
        <f t="shared" si="67"/>
        <v>0</v>
      </c>
    </row>
    <row r="710" spans="2:19" x14ac:dyDescent="0.2">
      <c r="B710" s="78">
        <f t="shared" si="68"/>
        <v>137</v>
      </c>
      <c r="C710" s="3"/>
      <c r="D710" s="3"/>
      <c r="E710" s="3"/>
      <c r="F710" s="25"/>
      <c r="G710" s="3"/>
      <c r="H710" s="45" t="s">
        <v>639</v>
      </c>
      <c r="I710" s="18"/>
      <c r="J710" s="18"/>
      <c r="K710" s="218"/>
      <c r="L710" s="279"/>
      <c r="M710" s="344">
        <f>848534+5500</f>
        <v>854034</v>
      </c>
      <c r="N710" s="162"/>
      <c r="O710" s="218">
        <f t="shared" si="69"/>
        <v>0</v>
      </c>
      <c r="P710" s="342"/>
      <c r="Q710" s="285">
        <f t="shared" si="70"/>
        <v>854034</v>
      </c>
      <c r="R710" s="18">
        <f t="shared" si="70"/>
        <v>0</v>
      </c>
      <c r="S710" s="219">
        <f t="shared" si="67"/>
        <v>0</v>
      </c>
    </row>
    <row r="711" spans="2:19" x14ac:dyDescent="0.2">
      <c r="B711" s="78">
        <f t="shared" si="68"/>
        <v>138</v>
      </c>
      <c r="C711" s="6"/>
      <c r="D711" s="6"/>
      <c r="E711" s="6" t="s">
        <v>109</v>
      </c>
      <c r="F711" s="28"/>
      <c r="G711" s="6"/>
      <c r="H711" s="6" t="s">
        <v>74</v>
      </c>
      <c r="I711" s="39">
        <f>I712+I713+I714+I719</f>
        <v>178317</v>
      </c>
      <c r="J711" s="39">
        <f>J712+J713+J714+J719</f>
        <v>178216</v>
      </c>
      <c r="K711" s="218">
        <f t="shared" si="66"/>
        <v>99.943359298328261</v>
      </c>
      <c r="L711" s="278"/>
      <c r="M711" s="343">
        <f>M720</f>
        <v>39000</v>
      </c>
      <c r="N711" s="39">
        <f>N720</f>
        <v>39000</v>
      </c>
      <c r="O711" s="218">
        <f t="shared" si="69"/>
        <v>100</v>
      </c>
      <c r="P711" s="278"/>
      <c r="Q711" s="343">
        <f t="shared" si="63"/>
        <v>217317</v>
      </c>
      <c r="R711" s="39">
        <f t="shared" si="63"/>
        <v>217216</v>
      </c>
      <c r="S711" s="219">
        <f t="shared" si="67"/>
        <v>99.953524114542347</v>
      </c>
    </row>
    <row r="712" spans="2:19" x14ac:dyDescent="0.2">
      <c r="B712" s="78">
        <f t="shared" si="68"/>
        <v>139</v>
      </c>
      <c r="C712" s="7"/>
      <c r="D712" s="7"/>
      <c r="E712" s="7"/>
      <c r="F712" s="24" t="s">
        <v>203</v>
      </c>
      <c r="G712" s="7">
        <v>610</v>
      </c>
      <c r="H712" s="7" t="s">
        <v>143</v>
      </c>
      <c r="I712" s="22">
        <f>101249+6911-1968</f>
        <v>106192</v>
      </c>
      <c r="J712" s="22">
        <v>106192</v>
      </c>
      <c r="K712" s="218">
        <f t="shared" si="66"/>
        <v>100</v>
      </c>
      <c r="L712" s="278"/>
      <c r="M712" s="284"/>
      <c r="N712" s="22"/>
      <c r="O712" s="218"/>
      <c r="P712" s="278"/>
      <c r="Q712" s="284">
        <f t="shared" si="63"/>
        <v>106192</v>
      </c>
      <c r="R712" s="22">
        <f t="shared" si="63"/>
        <v>106192</v>
      </c>
      <c r="S712" s="219">
        <f t="shared" si="67"/>
        <v>100</v>
      </c>
    </row>
    <row r="713" spans="2:19" x14ac:dyDescent="0.2">
      <c r="B713" s="78">
        <f t="shared" si="68"/>
        <v>140</v>
      </c>
      <c r="C713" s="7"/>
      <c r="D713" s="7"/>
      <c r="E713" s="7"/>
      <c r="F713" s="24" t="s">
        <v>203</v>
      </c>
      <c r="G713" s="7">
        <v>620</v>
      </c>
      <c r="H713" s="7" t="s">
        <v>136</v>
      </c>
      <c r="I713" s="22">
        <f>37300+2554-688</f>
        <v>39166</v>
      </c>
      <c r="J713" s="22">
        <v>39166</v>
      </c>
      <c r="K713" s="218">
        <f t="shared" si="66"/>
        <v>100</v>
      </c>
      <c r="L713" s="278"/>
      <c r="M713" s="284"/>
      <c r="N713" s="22"/>
      <c r="O713" s="218"/>
      <c r="P713" s="278"/>
      <c r="Q713" s="284">
        <f t="shared" si="63"/>
        <v>39166</v>
      </c>
      <c r="R713" s="22">
        <f t="shared" si="63"/>
        <v>39166</v>
      </c>
      <c r="S713" s="219">
        <f t="shared" si="67"/>
        <v>100</v>
      </c>
    </row>
    <row r="714" spans="2:19" x14ac:dyDescent="0.2">
      <c r="B714" s="78">
        <f t="shared" si="68"/>
        <v>141</v>
      </c>
      <c r="C714" s="7"/>
      <c r="D714" s="7"/>
      <c r="E714" s="7"/>
      <c r="F714" s="24" t="s">
        <v>203</v>
      </c>
      <c r="G714" s="7">
        <v>630</v>
      </c>
      <c r="H714" s="7" t="s">
        <v>133</v>
      </c>
      <c r="I714" s="22">
        <f>SUM(I715:I718)</f>
        <v>32249</v>
      </c>
      <c r="J714" s="22">
        <f>SUM(J715:J718)</f>
        <v>32148</v>
      </c>
      <c r="K714" s="218">
        <f t="shared" si="66"/>
        <v>99.68681199417037</v>
      </c>
      <c r="L714" s="278"/>
      <c r="M714" s="284"/>
      <c r="N714" s="22"/>
      <c r="O714" s="218"/>
      <c r="P714" s="278"/>
      <c r="Q714" s="284">
        <f t="shared" si="63"/>
        <v>32249</v>
      </c>
      <c r="R714" s="22">
        <f t="shared" si="63"/>
        <v>32148</v>
      </c>
      <c r="S714" s="219">
        <f t="shared" si="67"/>
        <v>99.68681199417037</v>
      </c>
    </row>
    <row r="715" spans="2:19" x14ac:dyDescent="0.2">
      <c r="B715" s="78">
        <f t="shared" si="68"/>
        <v>142</v>
      </c>
      <c r="C715" s="3"/>
      <c r="D715" s="3"/>
      <c r="E715" s="3"/>
      <c r="F715" s="25" t="s">
        <v>203</v>
      </c>
      <c r="G715" s="3">
        <v>632</v>
      </c>
      <c r="H715" s="3" t="s">
        <v>146</v>
      </c>
      <c r="I715" s="18">
        <f>17450-2000</f>
        <v>15450</v>
      </c>
      <c r="J715" s="18">
        <v>15450</v>
      </c>
      <c r="K715" s="218">
        <f t="shared" si="66"/>
        <v>100</v>
      </c>
      <c r="L715" s="279"/>
      <c r="M715" s="285"/>
      <c r="N715" s="18"/>
      <c r="O715" s="218"/>
      <c r="P715" s="279"/>
      <c r="Q715" s="285">
        <f t="shared" si="63"/>
        <v>15450</v>
      </c>
      <c r="R715" s="18">
        <f t="shared" si="63"/>
        <v>15450</v>
      </c>
      <c r="S715" s="219">
        <f t="shared" si="67"/>
        <v>100</v>
      </c>
    </row>
    <row r="716" spans="2:19" x14ac:dyDescent="0.2">
      <c r="B716" s="78">
        <f t="shared" si="68"/>
        <v>143</v>
      </c>
      <c r="C716" s="3"/>
      <c r="D716" s="3"/>
      <c r="E716" s="3"/>
      <c r="F716" s="25" t="s">
        <v>203</v>
      </c>
      <c r="G716" s="3">
        <v>633</v>
      </c>
      <c r="H716" s="3" t="s">
        <v>137</v>
      </c>
      <c r="I716" s="18">
        <f>6976+2164+1699</f>
        <v>10839</v>
      </c>
      <c r="J716" s="18">
        <v>10738</v>
      </c>
      <c r="K716" s="218">
        <f t="shared" si="66"/>
        <v>99.068179721376509</v>
      </c>
      <c r="L716" s="279"/>
      <c r="M716" s="285"/>
      <c r="N716" s="18"/>
      <c r="O716" s="218"/>
      <c r="P716" s="279"/>
      <c r="Q716" s="285">
        <f t="shared" si="63"/>
        <v>10839</v>
      </c>
      <c r="R716" s="18">
        <f t="shared" si="63"/>
        <v>10738</v>
      </c>
      <c r="S716" s="219">
        <f t="shared" si="67"/>
        <v>99.068179721376509</v>
      </c>
    </row>
    <row r="717" spans="2:19" x14ac:dyDescent="0.2">
      <c r="B717" s="78">
        <f t="shared" si="68"/>
        <v>144</v>
      </c>
      <c r="C717" s="3"/>
      <c r="D717" s="3"/>
      <c r="E717" s="3"/>
      <c r="F717" s="25" t="s">
        <v>203</v>
      </c>
      <c r="G717" s="3">
        <v>635</v>
      </c>
      <c r="H717" s="3" t="s">
        <v>145</v>
      </c>
      <c r="I717" s="18">
        <v>2300</v>
      </c>
      <c r="J717" s="18">
        <v>2300</v>
      </c>
      <c r="K717" s="218">
        <f t="shared" si="66"/>
        <v>100</v>
      </c>
      <c r="L717" s="279"/>
      <c r="M717" s="285"/>
      <c r="N717" s="18"/>
      <c r="O717" s="218"/>
      <c r="P717" s="279"/>
      <c r="Q717" s="285">
        <f t="shared" si="63"/>
        <v>2300</v>
      </c>
      <c r="R717" s="18">
        <f t="shared" si="63"/>
        <v>2300</v>
      </c>
      <c r="S717" s="219">
        <f t="shared" si="67"/>
        <v>100</v>
      </c>
    </row>
    <row r="718" spans="2:19" x14ac:dyDescent="0.2">
      <c r="B718" s="78">
        <f t="shared" si="68"/>
        <v>145</v>
      </c>
      <c r="C718" s="3"/>
      <c r="D718" s="3"/>
      <c r="E718" s="3"/>
      <c r="F718" s="25" t="s">
        <v>203</v>
      </c>
      <c r="G718" s="3">
        <v>637</v>
      </c>
      <c r="H718" s="3" t="s">
        <v>134</v>
      </c>
      <c r="I718" s="18">
        <f>3115+95+450</f>
        <v>3660</v>
      </c>
      <c r="J718" s="18">
        <v>3660</v>
      </c>
      <c r="K718" s="218">
        <f t="shared" si="66"/>
        <v>100</v>
      </c>
      <c r="L718" s="279"/>
      <c r="M718" s="285"/>
      <c r="N718" s="18"/>
      <c r="O718" s="218"/>
      <c r="P718" s="279"/>
      <c r="Q718" s="285">
        <f t="shared" si="63"/>
        <v>3660</v>
      </c>
      <c r="R718" s="18">
        <f t="shared" si="63"/>
        <v>3660</v>
      </c>
      <c r="S718" s="219">
        <f t="shared" si="67"/>
        <v>100</v>
      </c>
    </row>
    <row r="719" spans="2:19" x14ac:dyDescent="0.2">
      <c r="B719" s="78">
        <f t="shared" si="68"/>
        <v>146</v>
      </c>
      <c r="C719" s="3"/>
      <c r="D719" s="3"/>
      <c r="E719" s="3"/>
      <c r="F719" s="24" t="s">
        <v>203</v>
      </c>
      <c r="G719" s="7">
        <v>640</v>
      </c>
      <c r="H719" s="7" t="s">
        <v>141</v>
      </c>
      <c r="I719" s="22">
        <v>710</v>
      </c>
      <c r="J719" s="22">
        <v>710</v>
      </c>
      <c r="K719" s="218">
        <f t="shared" si="66"/>
        <v>100</v>
      </c>
      <c r="L719" s="278"/>
      <c r="M719" s="284"/>
      <c r="N719" s="22"/>
      <c r="O719" s="218"/>
      <c r="P719" s="278"/>
      <c r="Q719" s="284">
        <f t="shared" si="63"/>
        <v>710</v>
      </c>
      <c r="R719" s="22">
        <f t="shared" si="63"/>
        <v>710</v>
      </c>
      <c r="S719" s="219">
        <f t="shared" si="67"/>
        <v>100</v>
      </c>
    </row>
    <row r="720" spans="2:19" x14ac:dyDescent="0.2">
      <c r="B720" s="78">
        <f t="shared" si="68"/>
        <v>147</v>
      </c>
      <c r="C720" s="3"/>
      <c r="D720" s="3"/>
      <c r="E720" s="3"/>
      <c r="F720" s="24" t="s">
        <v>203</v>
      </c>
      <c r="G720" s="7">
        <v>710</v>
      </c>
      <c r="H720" s="7" t="s">
        <v>188</v>
      </c>
      <c r="I720" s="22"/>
      <c r="J720" s="22"/>
      <c r="K720" s="218"/>
      <c r="L720" s="278"/>
      <c r="M720" s="284">
        <f>M721</f>
        <v>39000</v>
      </c>
      <c r="N720" s="22">
        <f>N721</f>
        <v>39000</v>
      </c>
      <c r="O720" s="218">
        <f t="shared" si="69"/>
        <v>100</v>
      </c>
      <c r="P720" s="278"/>
      <c r="Q720" s="284">
        <f t="shared" si="63"/>
        <v>39000</v>
      </c>
      <c r="R720" s="22">
        <f t="shared" si="63"/>
        <v>39000</v>
      </c>
      <c r="S720" s="219">
        <f t="shared" si="67"/>
        <v>100</v>
      </c>
    </row>
    <row r="721" spans="2:19" x14ac:dyDescent="0.2">
      <c r="B721" s="78">
        <f t="shared" si="68"/>
        <v>148</v>
      </c>
      <c r="C721" s="3"/>
      <c r="D721" s="3"/>
      <c r="E721" s="3"/>
      <c r="F721" s="25" t="s">
        <v>203</v>
      </c>
      <c r="G721" s="3">
        <v>717</v>
      </c>
      <c r="H721" s="3" t="s">
        <v>198</v>
      </c>
      <c r="I721" s="18"/>
      <c r="J721" s="18"/>
      <c r="K721" s="218"/>
      <c r="L721" s="279"/>
      <c r="M721" s="285">
        <f>M722</f>
        <v>39000</v>
      </c>
      <c r="N721" s="18">
        <f>N722</f>
        <v>39000</v>
      </c>
      <c r="O721" s="218">
        <f t="shared" si="69"/>
        <v>100</v>
      </c>
      <c r="P721" s="279"/>
      <c r="Q721" s="347">
        <f t="shared" si="63"/>
        <v>39000</v>
      </c>
      <c r="R721" s="348">
        <f t="shared" si="63"/>
        <v>39000</v>
      </c>
      <c r="S721" s="219">
        <f t="shared" si="67"/>
        <v>100</v>
      </c>
    </row>
    <row r="722" spans="2:19" x14ac:dyDescent="0.2">
      <c r="B722" s="78">
        <f t="shared" si="68"/>
        <v>149</v>
      </c>
      <c r="C722" s="3"/>
      <c r="D722" s="3"/>
      <c r="E722" s="3"/>
      <c r="F722" s="30"/>
      <c r="G722" s="4"/>
      <c r="H722" s="45" t="s">
        <v>555</v>
      </c>
      <c r="I722" s="20"/>
      <c r="J722" s="20"/>
      <c r="K722" s="218"/>
      <c r="L722" s="280"/>
      <c r="M722" s="286">
        <f>30000+9000</f>
        <v>39000</v>
      </c>
      <c r="N722" s="21">
        <v>39000</v>
      </c>
      <c r="O722" s="218">
        <f t="shared" si="69"/>
        <v>100</v>
      </c>
      <c r="P722" s="280"/>
      <c r="Q722" s="298">
        <f t="shared" si="63"/>
        <v>39000</v>
      </c>
      <c r="R722" s="21">
        <f t="shared" si="63"/>
        <v>39000</v>
      </c>
      <c r="S722" s="219">
        <f t="shared" si="67"/>
        <v>100</v>
      </c>
    </row>
    <row r="723" spans="2:19" x14ac:dyDescent="0.2">
      <c r="B723" s="78">
        <f t="shared" si="68"/>
        <v>150</v>
      </c>
      <c r="C723" s="6"/>
      <c r="D723" s="6"/>
      <c r="E723" s="6" t="s">
        <v>102</v>
      </c>
      <c r="F723" s="28"/>
      <c r="G723" s="6"/>
      <c r="H723" s="6" t="s">
        <v>103</v>
      </c>
      <c r="I723" s="39">
        <f>I724+I725+I726</f>
        <v>90246</v>
      </c>
      <c r="J723" s="39">
        <f>J724+J725+J726</f>
        <v>90215</v>
      </c>
      <c r="K723" s="218">
        <f t="shared" si="66"/>
        <v>99.965649447066909</v>
      </c>
      <c r="L723" s="278"/>
      <c r="M723" s="343">
        <f>M731</f>
        <v>10000</v>
      </c>
      <c r="N723" s="39">
        <f>N731</f>
        <v>10000</v>
      </c>
      <c r="O723" s="218">
        <f t="shared" si="69"/>
        <v>100</v>
      </c>
      <c r="P723" s="278"/>
      <c r="Q723" s="343">
        <f t="shared" si="63"/>
        <v>100246</v>
      </c>
      <c r="R723" s="39">
        <f t="shared" si="63"/>
        <v>100215</v>
      </c>
      <c r="S723" s="219">
        <f t="shared" si="67"/>
        <v>99.969076072860759</v>
      </c>
    </row>
    <row r="724" spans="2:19" x14ac:dyDescent="0.2">
      <c r="B724" s="78">
        <f t="shared" si="68"/>
        <v>151</v>
      </c>
      <c r="C724" s="7"/>
      <c r="D724" s="7"/>
      <c r="E724" s="7"/>
      <c r="F724" s="24" t="s">
        <v>203</v>
      </c>
      <c r="G724" s="7">
        <v>610</v>
      </c>
      <c r="H724" s="7" t="s">
        <v>143</v>
      </c>
      <c r="I724" s="22">
        <f>51681+3581-1020</f>
        <v>54242</v>
      </c>
      <c r="J724" s="22">
        <v>54242</v>
      </c>
      <c r="K724" s="218">
        <f t="shared" si="66"/>
        <v>100</v>
      </c>
      <c r="L724" s="278"/>
      <c r="M724" s="284"/>
      <c r="N724" s="22"/>
      <c r="O724" s="218"/>
      <c r="P724" s="278"/>
      <c r="Q724" s="284">
        <f t="shared" si="63"/>
        <v>54242</v>
      </c>
      <c r="R724" s="22">
        <f t="shared" si="63"/>
        <v>54242</v>
      </c>
      <c r="S724" s="219">
        <f t="shared" si="67"/>
        <v>100</v>
      </c>
    </row>
    <row r="725" spans="2:19" x14ac:dyDescent="0.2">
      <c r="B725" s="78">
        <f t="shared" si="68"/>
        <v>152</v>
      </c>
      <c r="C725" s="7"/>
      <c r="D725" s="7"/>
      <c r="E725" s="7"/>
      <c r="F725" s="24" t="s">
        <v>203</v>
      </c>
      <c r="G725" s="7">
        <v>620</v>
      </c>
      <c r="H725" s="7" t="s">
        <v>136</v>
      </c>
      <c r="I725" s="22">
        <f>19004+1323-357</f>
        <v>19970</v>
      </c>
      <c r="J725" s="22">
        <v>19970</v>
      </c>
      <c r="K725" s="218">
        <f t="shared" si="66"/>
        <v>100</v>
      </c>
      <c r="L725" s="278"/>
      <c r="M725" s="284"/>
      <c r="N725" s="22"/>
      <c r="O725" s="218"/>
      <c r="P725" s="278"/>
      <c r="Q725" s="284">
        <f t="shared" si="63"/>
        <v>19970</v>
      </c>
      <c r="R725" s="22">
        <f t="shared" si="63"/>
        <v>19970</v>
      </c>
      <c r="S725" s="219">
        <f t="shared" si="67"/>
        <v>100</v>
      </c>
    </row>
    <row r="726" spans="2:19" x14ac:dyDescent="0.2">
      <c r="B726" s="78">
        <f t="shared" si="68"/>
        <v>153</v>
      </c>
      <c r="C726" s="7"/>
      <c r="D726" s="7"/>
      <c r="E726" s="7"/>
      <c r="F726" s="24" t="s">
        <v>203</v>
      </c>
      <c r="G726" s="7">
        <v>630</v>
      </c>
      <c r="H726" s="7" t="s">
        <v>133</v>
      </c>
      <c r="I726" s="22">
        <f>SUM(I727:I730)</f>
        <v>16034</v>
      </c>
      <c r="J726" s="22">
        <f>SUM(J727:J730)</f>
        <v>16003</v>
      </c>
      <c r="K726" s="218">
        <f t="shared" si="66"/>
        <v>99.806660845702879</v>
      </c>
      <c r="L726" s="278"/>
      <c r="M726" s="284"/>
      <c r="N726" s="22"/>
      <c r="O726" s="218"/>
      <c r="P726" s="278"/>
      <c r="Q726" s="284">
        <f t="shared" si="63"/>
        <v>16034</v>
      </c>
      <c r="R726" s="22">
        <f t="shared" si="63"/>
        <v>16003</v>
      </c>
      <c r="S726" s="219">
        <f t="shared" si="67"/>
        <v>99.806660845702879</v>
      </c>
    </row>
    <row r="727" spans="2:19" x14ac:dyDescent="0.2">
      <c r="B727" s="78">
        <f t="shared" si="68"/>
        <v>154</v>
      </c>
      <c r="C727" s="3"/>
      <c r="D727" s="3"/>
      <c r="E727" s="3"/>
      <c r="F727" s="25" t="s">
        <v>203</v>
      </c>
      <c r="G727" s="3">
        <v>632</v>
      </c>
      <c r="H727" s="3" t="s">
        <v>146</v>
      </c>
      <c r="I727" s="18">
        <f>7540-751</f>
        <v>6789</v>
      </c>
      <c r="J727" s="18">
        <v>6789</v>
      </c>
      <c r="K727" s="218">
        <f t="shared" si="66"/>
        <v>100</v>
      </c>
      <c r="L727" s="279"/>
      <c r="M727" s="285"/>
      <c r="N727" s="18"/>
      <c r="O727" s="218"/>
      <c r="P727" s="279"/>
      <c r="Q727" s="285">
        <f t="shared" si="63"/>
        <v>6789</v>
      </c>
      <c r="R727" s="18">
        <f t="shared" si="63"/>
        <v>6789</v>
      </c>
      <c r="S727" s="219">
        <f t="shared" si="67"/>
        <v>100</v>
      </c>
    </row>
    <row r="728" spans="2:19" x14ac:dyDescent="0.2">
      <c r="B728" s="78">
        <f t="shared" si="68"/>
        <v>155</v>
      </c>
      <c r="C728" s="3"/>
      <c r="D728" s="3"/>
      <c r="E728" s="3"/>
      <c r="F728" s="25" t="s">
        <v>203</v>
      </c>
      <c r="G728" s="3">
        <v>633</v>
      </c>
      <c r="H728" s="3" t="s">
        <v>137</v>
      </c>
      <c r="I728" s="18">
        <f>5108+1377-91</f>
        <v>6394</v>
      </c>
      <c r="J728" s="18">
        <v>6394</v>
      </c>
      <c r="K728" s="218">
        <f t="shared" si="66"/>
        <v>100</v>
      </c>
      <c r="L728" s="279"/>
      <c r="M728" s="285"/>
      <c r="N728" s="18"/>
      <c r="O728" s="218"/>
      <c r="P728" s="279"/>
      <c r="Q728" s="285">
        <f t="shared" si="63"/>
        <v>6394</v>
      </c>
      <c r="R728" s="18">
        <f t="shared" si="63"/>
        <v>6394</v>
      </c>
      <c r="S728" s="219">
        <f t="shared" si="67"/>
        <v>100</v>
      </c>
    </row>
    <row r="729" spans="2:19" x14ac:dyDescent="0.2">
      <c r="B729" s="78">
        <f t="shared" si="68"/>
        <v>156</v>
      </c>
      <c r="C729" s="3"/>
      <c r="D729" s="3"/>
      <c r="E729" s="3"/>
      <c r="F729" s="25" t="s">
        <v>203</v>
      </c>
      <c r="G729" s="3">
        <v>635</v>
      </c>
      <c r="H729" s="3" t="s">
        <v>145</v>
      </c>
      <c r="I729" s="18">
        <f>200+201</f>
        <v>401</v>
      </c>
      <c r="J729" s="18">
        <v>370</v>
      </c>
      <c r="K729" s="218">
        <f t="shared" si="66"/>
        <v>92.26932668329178</v>
      </c>
      <c r="L729" s="279"/>
      <c r="M729" s="285"/>
      <c r="N729" s="18"/>
      <c r="O729" s="218"/>
      <c r="P729" s="279"/>
      <c r="Q729" s="285">
        <f t="shared" si="63"/>
        <v>401</v>
      </c>
      <c r="R729" s="18">
        <f t="shared" si="63"/>
        <v>370</v>
      </c>
      <c r="S729" s="219">
        <f t="shared" si="67"/>
        <v>92.26932668329178</v>
      </c>
    </row>
    <row r="730" spans="2:19" x14ac:dyDescent="0.2">
      <c r="B730" s="78">
        <f t="shared" si="68"/>
        <v>157</v>
      </c>
      <c r="C730" s="3"/>
      <c r="D730" s="3"/>
      <c r="E730" s="3"/>
      <c r="F730" s="25" t="s">
        <v>203</v>
      </c>
      <c r="G730" s="3">
        <v>637</v>
      </c>
      <c r="H730" s="3" t="s">
        <v>134</v>
      </c>
      <c r="I730" s="18">
        <f>1840+60+550</f>
        <v>2450</v>
      </c>
      <c r="J730" s="18">
        <v>2450</v>
      </c>
      <c r="K730" s="218">
        <f t="shared" si="66"/>
        <v>100</v>
      </c>
      <c r="L730" s="279"/>
      <c r="M730" s="285"/>
      <c r="N730" s="18"/>
      <c r="O730" s="218"/>
      <c r="P730" s="279"/>
      <c r="Q730" s="285">
        <f t="shared" si="63"/>
        <v>2450</v>
      </c>
      <c r="R730" s="18">
        <f t="shared" si="63"/>
        <v>2450</v>
      </c>
      <c r="S730" s="219">
        <f t="shared" si="67"/>
        <v>100</v>
      </c>
    </row>
    <row r="731" spans="2:19" x14ac:dyDescent="0.2">
      <c r="B731" s="78">
        <f t="shared" si="68"/>
        <v>158</v>
      </c>
      <c r="C731" s="3"/>
      <c r="D731" s="3"/>
      <c r="E731" s="3"/>
      <c r="F731" s="24" t="s">
        <v>203</v>
      </c>
      <c r="G731" s="7">
        <v>710</v>
      </c>
      <c r="H731" s="7" t="s">
        <v>188</v>
      </c>
      <c r="I731" s="22"/>
      <c r="J731" s="22"/>
      <c r="K731" s="218"/>
      <c r="L731" s="278"/>
      <c r="M731" s="284">
        <f>M732</f>
        <v>10000</v>
      </c>
      <c r="N731" s="22">
        <f>N732</f>
        <v>10000</v>
      </c>
      <c r="O731" s="218">
        <f t="shared" si="69"/>
        <v>100</v>
      </c>
      <c r="P731" s="278"/>
      <c r="Q731" s="284">
        <f t="shared" si="63"/>
        <v>10000</v>
      </c>
      <c r="R731" s="22">
        <f t="shared" si="63"/>
        <v>10000</v>
      </c>
      <c r="S731" s="219">
        <f t="shared" si="67"/>
        <v>100</v>
      </c>
    </row>
    <row r="732" spans="2:19" x14ac:dyDescent="0.2">
      <c r="B732" s="78">
        <f t="shared" si="68"/>
        <v>159</v>
      </c>
      <c r="C732" s="3"/>
      <c r="D732" s="3"/>
      <c r="E732" s="3"/>
      <c r="F732" s="25" t="s">
        <v>203</v>
      </c>
      <c r="G732" s="3">
        <v>717</v>
      </c>
      <c r="H732" s="3" t="s">
        <v>198</v>
      </c>
      <c r="I732" s="18"/>
      <c r="J732" s="18"/>
      <c r="K732" s="218"/>
      <c r="L732" s="279"/>
      <c r="M732" s="285">
        <f>M733</f>
        <v>10000</v>
      </c>
      <c r="N732" s="18">
        <f>N733</f>
        <v>10000</v>
      </c>
      <c r="O732" s="218">
        <f t="shared" si="69"/>
        <v>100</v>
      </c>
      <c r="P732" s="279"/>
      <c r="Q732" s="347">
        <f t="shared" si="63"/>
        <v>10000</v>
      </c>
      <c r="R732" s="348">
        <f t="shared" si="63"/>
        <v>10000</v>
      </c>
      <c r="S732" s="219">
        <f t="shared" si="67"/>
        <v>100</v>
      </c>
    </row>
    <row r="733" spans="2:19" x14ac:dyDescent="0.2">
      <c r="B733" s="78">
        <f t="shared" si="68"/>
        <v>160</v>
      </c>
      <c r="C733" s="3"/>
      <c r="D733" s="3"/>
      <c r="E733" s="3"/>
      <c r="F733" s="30"/>
      <c r="G733" s="4"/>
      <c r="H733" s="45" t="s">
        <v>599</v>
      </c>
      <c r="I733" s="20"/>
      <c r="J733" s="20"/>
      <c r="K733" s="218"/>
      <c r="L733" s="280"/>
      <c r="M733" s="286">
        <v>10000</v>
      </c>
      <c r="N733" s="21">
        <v>10000</v>
      </c>
      <c r="O733" s="218">
        <f t="shared" si="69"/>
        <v>100</v>
      </c>
      <c r="P733" s="280"/>
      <c r="Q733" s="298">
        <f t="shared" si="63"/>
        <v>10000</v>
      </c>
      <c r="R733" s="21">
        <f t="shared" si="63"/>
        <v>10000</v>
      </c>
      <c r="S733" s="219">
        <f t="shared" si="67"/>
        <v>100</v>
      </c>
    </row>
    <row r="734" spans="2:19" x14ac:dyDescent="0.2">
      <c r="B734" s="78">
        <f t="shared" si="68"/>
        <v>161</v>
      </c>
      <c r="C734" s="6"/>
      <c r="D734" s="6"/>
      <c r="E734" s="6" t="s">
        <v>94</v>
      </c>
      <c r="F734" s="28"/>
      <c r="G734" s="6"/>
      <c r="H734" s="6" t="s">
        <v>211</v>
      </c>
      <c r="I734" s="39">
        <f>I735+I736+I737+I741</f>
        <v>115570</v>
      </c>
      <c r="J734" s="39">
        <f>J735+J736+J737+J741</f>
        <v>115219</v>
      </c>
      <c r="K734" s="218">
        <f t="shared" si="66"/>
        <v>99.696287964004497</v>
      </c>
      <c r="L734" s="278"/>
      <c r="M734" s="343">
        <v>0</v>
      </c>
      <c r="N734" s="39">
        <v>0</v>
      </c>
      <c r="O734" s="218"/>
      <c r="P734" s="278"/>
      <c r="Q734" s="343">
        <f t="shared" ref="Q734:R804" si="71">I734+M734</f>
        <v>115570</v>
      </c>
      <c r="R734" s="39">
        <f t="shared" si="71"/>
        <v>115219</v>
      </c>
      <c r="S734" s="219">
        <f t="shared" si="67"/>
        <v>99.696287964004497</v>
      </c>
    </row>
    <row r="735" spans="2:19" x14ac:dyDescent="0.2">
      <c r="B735" s="78">
        <f t="shared" si="68"/>
        <v>162</v>
      </c>
      <c r="C735" s="7"/>
      <c r="D735" s="7"/>
      <c r="E735" s="7"/>
      <c r="F735" s="24" t="s">
        <v>203</v>
      </c>
      <c r="G735" s="7">
        <v>610</v>
      </c>
      <c r="H735" s="7" t="s">
        <v>143</v>
      </c>
      <c r="I735" s="22">
        <f>67905+4233-1166</f>
        <v>70972</v>
      </c>
      <c r="J735" s="22">
        <v>70972</v>
      </c>
      <c r="K735" s="218">
        <f t="shared" si="66"/>
        <v>100</v>
      </c>
      <c r="L735" s="278"/>
      <c r="M735" s="284"/>
      <c r="N735" s="22"/>
      <c r="O735" s="218"/>
      <c r="P735" s="278"/>
      <c r="Q735" s="284">
        <f t="shared" si="71"/>
        <v>70972</v>
      </c>
      <c r="R735" s="22">
        <f t="shared" si="71"/>
        <v>70972</v>
      </c>
      <c r="S735" s="219">
        <f t="shared" si="67"/>
        <v>100</v>
      </c>
    </row>
    <row r="736" spans="2:19" x14ac:dyDescent="0.2">
      <c r="B736" s="78">
        <f t="shared" si="68"/>
        <v>163</v>
      </c>
      <c r="C736" s="7"/>
      <c r="D736" s="7"/>
      <c r="E736" s="7"/>
      <c r="F736" s="24" t="s">
        <v>203</v>
      </c>
      <c r="G736" s="7">
        <v>620</v>
      </c>
      <c r="H736" s="7" t="s">
        <v>136</v>
      </c>
      <c r="I736" s="22">
        <f>24996+1564-408</f>
        <v>26152</v>
      </c>
      <c r="J736" s="22">
        <v>26152</v>
      </c>
      <c r="K736" s="218">
        <f t="shared" si="66"/>
        <v>100</v>
      </c>
      <c r="L736" s="278"/>
      <c r="M736" s="284"/>
      <c r="N736" s="22"/>
      <c r="O736" s="218"/>
      <c r="P736" s="278"/>
      <c r="Q736" s="284">
        <f t="shared" si="71"/>
        <v>26152</v>
      </c>
      <c r="R736" s="22">
        <f t="shared" si="71"/>
        <v>26152</v>
      </c>
      <c r="S736" s="219">
        <f t="shared" si="67"/>
        <v>100</v>
      </c>
    </row>
    <row r="737" spans="2:19" x14ac:dyDescent="0.2">
      <c r="B737" s="78">
        <f t="shared" si="68"/>
        <v>164</v>
      </c>
      <c r="C737" s="7"/>
      <c r="D737" s="7"/>
      <c r="E737" s="7"/>
      <c r="F737" s="24" t="s">
        <v>203</v>
      </c>
      <c r="G737" s="7">
        <v>630</v>
      </c>
      <c r="H737" s="7" t="s">
        <v>133</v>
      </c>
      <c r="I737" s="22">
        <f>SUM(I738:I740)</f>
        <v>18301</v>
      </c>
      <c r="J737" s="22">
        <f>SUM(J738:J740)</f>
        <v>17950</v>
      </c>
      <c r="K737" s="218">
        <f t="shared" si="66"/>
        <v>98.082072017922513</v>
      </c>
      <c r="L737" s="278"/>
      <c r="M737" s="284"/>
      <c r="N737" s="22"/>
      <c r="O737" s="218"/>
      <c r="P737" s="278"/>
      <c r="Q737" s="284">
        <f t="shared" si="71"/>
        <v>18301</v>
      </c>
      <c r="R737" s="22">
        <f t="shared" si="71"/>
        <v>17950</v>
      </c>
      <c r="S737" s="219">
        <f t="shared" si="67"/>
        <v>98.082072017922513</v>
      </c>
    </row>
    <row r="738" spans="2:19" x14ac:dyDescent="0.2">
      <c r="B738" s="78">
        <f t="shared" si="68"/>
        <v>165</v>
      </c>
      <c r="C738" s="3"/>
      <c r="D738" s="3"/>
      <c r="E738" s="3"/>
      <c r="F738" s="25" t="s">
        <v>203</v>
      </c>
      <c r="G738" s="3">
        <v>632</v>
      </c>
      <c r="H738" s="3" t="s">
        <v>146</v>
      </c>
      <c r="I738" s="18">
        <v>9020</v>
      </c>
      <c r="J738" s="18">
        <v>9020</v>
      </c>
      <c r="K738" s="218">
        <f t="shared" si="66"/>
        <v>100</v>
      </c>
      <c r="L738" s="279"/>
      <c r="M738" s="285"/>
      <c r="N738" s="18"/>
      <c r="O738" s="218"/>
      <c r="P738" s="279"/>
      <c r="Q738" s="285">
        <f t="shared" si="71"/>
        <v>9020</v>
      </c>
      <c r="R738" s="18">
        <f t="shared" si="71"/>
        <v>9020</v>
      </c>
      <c r="S738" s="219">
        <f t="shared" si="67"/>
        <v>100</v>
      </c>
    </row>
    <row r="739" spans="2:19" x14ac:dyDescent="0.2">
      <c r="B739" s="78">
        <f t="shared" si="68"/>
        <v>166</v>
      </c>
      <c r="C739" s="3"/>
      <c r="D739" s="3"/>
      <c r="E739" s="3"/>
      <c r="F739" s="25" t="s">
        <v>203</v>
      </c>
      <c r="G739" s="3">
        <v>633</v>
      </c>
      <c r="H739" s="3" t="s">
        <v>137</v>
      </c>
      <c r="I739" s="18">
        <f>6039+590+352</f>
        <v>6981</v>
      </c>
      <c r="J739" s="18">
        <v>6629</v>
      </c>
      <c r="K739" s="218">
        <f t="shared" si="66"/>
        <v>94.957742443775956</v>
      </c>
      <c r="L739" s="279"/>
      <c r="M739" s="285"/>
      <c r="N739" s="18"/>
      <c r="O739" s="218"/>
      <c r="P739" s="279"/>
      <c r="Q739" s="285">
        <f t="shared" si="71"/>
        <v>6981</v>
      </c>
      <c r="R739" s="18">
        <f t="shared" si="71"/>
        <v>6629</v>
      </c>
      <c r="S739" s="219">
        <f t="shared" si="67"/>
        <v>94.957742443775956</v>
      </c>
    </row>
    <row r="740" spans="2:19" x14ac:dyDescent="0.2">
      <c r="B740" s="78">
        <f t="shared" si="68"/>
        <v>167</v>
      </c>
      <c r="C740" s="3"/>
      <c r="D740" s="3"/>
      <c r="E740" s="3"/>
      <c r="F740" s="25" t="s">
        <v>203</v>
      </c>
      <c r="G740" s="3">
        <v>637</v>
      </c>
      <c r="H740" s="3" t="s">
        <v>134</v>
      </c>
      <c r="I740" s="18">
        <v>2300</v>
      </c>
      <c r="J740" s="18">
        <v>2301</v>
      </c>
      <c r="K740" s="218">
        <f t="shared" si="66"/>
        <v>100.04347826086956</v>
      </c>
      <c r="L740" s="279"/>
      <c r="M740" s="285"/>
      <c r="N740" s="18"/>
      <c r="O740" s="218"/>
      <c r="P740" s="279"/>
      <c r="Q740" s="285">
        <f t="shared" si="71"/>
        <v>2300</v>
      </c>
      <c r="R740" s="18">
        <f t="shared" si="71"/>
        <v>2301</v>
      </c>
      <c r="S740" s="219">
        <f t="shared" si="67"/>
        <v>100.04347826086956</v>
      </c>
    </row>
    <row r="741" spans="2:19" x14ac:dyDescent="0.2">
      <c r="B741" s="78">
        <f t="shared" si="68"/>
        <v>168</v>
      </c>
      <c r="C741" s="3"/>
      <c r="D741" s="3"/>
      <c r="E741" s="3"/>
      <c r="F741" s="24" t="s">
        <v>203</v>
      </c>
      <c r="G741" s="7">
        <v>640</v>
      </c>
      <c r="H741" s="7" t="s">
        <v>141</v>
      </c>
      <c r="I741" s="22">
        <v>145</v>
      </c>
      <c r="J741" s="22">
        <v>145</v>
      </c>
      <c r="K741" s="218">
        <f t="shared" si="66"/>
        <v>100</v>
      </c>
      <c r="L741" s="278"/>
      <c r="M741" s="284"/>
      <c r="N741" s="22"/>
      <c r="O741" s="218"/>
      <c r="P741" s="278"/>
      <c r="Q741" s="284">
        <f t="shared" si="71"/>
        <v>145</v>
      </c>
      <c r="R741" s="22">
        <f t="shared" si="71"/>
        <v>145</v>
      </c>
      <c r="S741" s="219">
        <f t="shared" si="67"/>
        <v>100</v>
      </c>
    </row>
    <row r="742" spans="2:19" x14ac:dyDescent="0.2">
      <c r="B742" s="78">
        <f t="shared" si="68"/>
        <v>169</v>
      </c>
      <c r="C742" s="6"/>
      <c r="D742" s="6"/>
      <c r="E742" s="6" t="s">
        <v>113</v>
      </c>
      <c r="F742" s="28"/>
      <c r="G742" s="6"/>
      <c r="H742" s="6" t="s">
        <v>75</v>
      </c>
      <c r="I742" s="39">
        <f>I743+I744+I745+I751</f>
        <v>107080</v>
      </c>
      <c r="J742" s="39">
        <f>J743+J744+J745+J751</f>
        <v>106617</v>
      </c>
      <c r="K742" s="218">
        <f t="shared" si="66"/>
        <v>99.567612999626448</v>
      </c>
      <c r="L742" s="278"/>
      <c r="M742" s="343">
        <f>M752</f>
        <v>10000</v>
      </c>
      <c r="N742" s="39">
        <f>N752</f>
        <v>9873</v>
      </c>
      <c r="O742" s="218">
        <f t="shared" si="69"/>
        <v>98.72999999999999</v>
      </c>
      <c r="P742" s="278"/>
      <c r="Q742" s="343">
        <f t="shared" si="71"/>
        <v>117080</v>
      </c>
      <c r="R742" s="39">
        <f t="shared" si="71"/>
        <v>116490</v>
      </c>
      <c r="S742" s="219">
        <f t="shared" si="67"/>
        <v>99.496071062521352</v>
      </c>
    </row>
    <row r="743" spans="2:19" x14ac:dyDescent="0.2">
      <c r="B743" s="78">
        <f t="shared" si="68"/>
        <v>170</v>
      </c>
      <c r="C743" s="7"/>
      <c r="D743" s="7"/>
      <c r="E743" s="7"/>
      <c r="F743" s="24" t="s">
        <v>203</v>
      </c>
      <c r="G743" s="7">
        <v>610</v>
      </c>
      <c r="H743" s="7" t="s">
        <v>143</v>
      </c>
      <c r="I743" s="22">
        <f>59661+4507-656</f>
        <v>63512</v>
      </c>
      <c r="J743" s="22">
        <v>63511</v>
      </c>
      <c r="K743" s="218">
        <f t="shared" si="66"/>
        <v>99.998425494394766</v>
      </c>
      <c r="L743" s="278"/>
      <c r="M743" s="284"/>
      <c r="N743" s="22"/>
      <c r="O743" s="218"/>
      <c r="P743" s="278"/>
      <c r="Q743" s="284">
        <f t="shared" si="71"/>
        <v>63512</v>
      </c>
      <c r="R743" s="22">
        <f t="shared" si="71"/>
        <v>63511</v>
      </c>
      <c r="S743" s="219">
        <f t="shared" si="67"/>
        <v>99.998425494394766</v>
      </c>
    </row>
    <row r="744" spans="2:19" x14ac:dyDescent="0.2">
      <c r="B744" s="78">
        <f t="shared" si="68"/>
        <v>171</v>
      </c>
      <c r="C744" s="7"/>
      <c r="D744" s="7"/>
      <c r="E744" s="7"/>
      <c r="F744" s="24" t="s">
        <v>203</v>
      </c>
      <c r="G744" s="7">
        <v>620</v>
      </c>
      <c r="H744" s="7" t="s">
        <v>136</v>
      </c>
      <c r="I744" s="22">
        <f>21960+1665-229</f>
        <v>23396</v>
      </c>
      <c r="J744" s="22">
        <v>23396</v>
      </c>
      <c r="K744" s="218">
        <f t="shared" si="66"/>
        <v>100</v>
      </c>
      <c r="L744" s="278"/>
      <c r="M744" s="284"/>
      <c r="N744" s="22"/>
      <c r="O744" s="218"/>
      <c r="P744" s="278"/>
      <c r="Q744" s="284">
        <f t="shared" si="71"/>
        <v>23396</v>
      </c>
      <c r="R744" s="22">
        <f t="shared" si="71"/>
        <v>23396</v>
      </c>
      <c r="S744" s="219">
        <f t="shared" si="67"/>
        <v>100</v>
      </c>
    </row>
    <row r="745" spans="2:19" x14ac:dyDescent="0.2">
      <c r="B745" s="78">
        <f t="shared" si="68"/>
        <v>172</v>
      </c>
      <c r="C745" s="7"/>
      <c r="D745" s="7"/>
      <c r="E745" s="7"/>
      <c r="F745" s="24" t="s">
        <v>203</v>
      </c>
      <c r="G745" s="7">
        <v>630</v>
      </c>
      <c r="H745" s="7" t="s">
        <v>133</v>
      </c>
      <c r="I745" s="22">
        <f>SUM(I746:I750)</f>
        <v>18230</v>
      </c>
      <c r="J745" s="22">
        <f>SUM(J746:J750)</f>
        <v>18229</v>
      </c>
      <c r="K745" s="218">
        <f t="shared" si="66"/>
        <v>99.994514536478334</v>
      </c>
      <c r="L745" s="278"/>
      <c r="M745" s="284"/>
      <c r="N745" s="22"/>
      <c r="O745" s="218"/>
      <c r="P745" s="278"/>
      <c r="Q745" s="284">
        <f t="shared" si="71"/>
        <v>18230</v>
      </c>
      <c r="R745" s="22">
        <f t="shared" si="71"/>
        <v>18229</v>
      </c>
      <c r="S745" s="219">
        <f t="shared" si="67"/>
        <v>99.994514536478334</v>
      </c>
    </row>
    <row r="746" spans="2:19" x14ac:dyDescent="0.2">
      <c r="B746" s="78">
        <f t="shared" si="68"/>
        <v>173</v>
      </c>
      <c r="C746" s="3"/>
      <c r="D746" s="3"/>
      <c r="E746" s="3"/>
      <c r="F746" s="25" t="s">
        <v>203</v>
      </c>
      <c r="G746" s="3">
        <v>632</v>
      </c>
      <c r="H746" s="3" t="s">
        <v>146</v>
      </c>
      <c r="I746" s="18">
        <f>485-80</f>
        <v>405</v>
      </c>
      <c r="J746" s="18">
        <v>405</v>
      </c>
      <c r="K746" s="218">
        <f t="shared" si="66"/>
        <v>100</v>
      </c>
      <c r="L746" s="279"/>
      <c r="M746" s="285"/>
      <c r="N746" s="18"/>
      <c r="O746" s="218"/>
      <c r="P746" s="279"/>
      <c r="Q746" s="285">
        <f t="shared" si="71"/>
        <v>405</v>
      </c>
      <c r="R746" s="18">
        <f t="shared" si="71"/>
        <v>405</v>
      </c>
      <c r="S746" s="219">
        <f t="shared" si="67"/>
        <v>100</v>
      </c>
    </row>
    <row r="747" spans="2:19" x14ac:dyDescent="0.2">
      <c r="B747" s="78">
        <f t="shared" si="68"/>
        <v>174</v>
      </c>
      <c r="C747" s="3"/>
      <c r="D747" s="3"/>
      <c r="E747" s="3"/>
      <c r="F747" s="25" t="s">
        <v>203</v>
      </c>
      <c r="G747" s="3">
        <v>633</v>
      </c>
      <c r="H747" s="3" t="s">
        <v>137</v>
      </c>
      <c r="I747" s="18">
        <f>2634+885+700-764</f>
        <v>3455</v>
      </c>
      <c r="J747" s="18">
        <v>3455</v>
      </c>
      <c r="K747" s="218">
        <f t="shared" si="66"/>
        <v>100</v>
      </c>
      <c r="L747" s="279"/>
      <c r="M747" s="285"/>
      <c r="N747" s="18"/>
      <c r="O747" s="218"/>
      <c r="P747" s="279"/>
      <c r="Q747" s="285">
        <f t="shared" si="71"/>
        <v>3455</v>
      </c>
      <c r="R747" s="18">
        <f t="shared" si="71"/>
        <v>3455</v>
      </c>
      <c r="S747" s="219">
        <f t="shared" si="67"/>
        <v>100</v>
      </c>
    </row>
    <row r="748" spans="2:19" x14ac:dyDescent="0.2">
      <c r="B748" s="78">
        <f t="shared" si="68"/>
        <v>175</v>
      </c>
      <c r="C748" s="3"/>
      <c r="D748" s="3"/>
      <c r="E748" s="3"/>
      <c r="F748" s="25" t="s">
        <v>203</v>
      </c>
      <c r="G748" s="3">
        <v>635</v>
      </c>
      <c r="H748" s="3" t="s">
        <v>145</v>
      </c>
      <c r="I748" s="18">
        <f>1200+1469</f>
        <v>2669</v>
      </c>
      <c r="J748" s="18">
        <v>2668</v>
      </c>
      <c r="K748" s="218">
        <f t="shared" si="66"/>
        <v>99.962532783814169</v>
      </c>
      <c r="L748" s="279"/>
      <c r="M748" s="285"/>
      <c r="N748" s="18"/>
      <c r="O748" s="218"/>
      <c r="P748" s="279"/>
      <c r="Q748" s="285">
        <f t="shared" si="71"/>
        <v>2669</v>
      </c>
      <c r="R748" s="18">
        <f t="shared" si="71"/>
        <v>2668</v>
      </c>
      <c r="S748" s="219">
        <f t="shared" si="67"/>
        <v>99.962532783814169</v>
      </c>
    </row>
    <row r="749" spans="2:19" x14ac:dyDescent="0.2">
      <c r="B749" s="78">
        <f t="shared" si="68"/>
        <v>176</v>
      </c>
      <c r="C749" s="3"/>
      <c r="D749" s="3"/>
      <c r="E749" s="3"/>
      <c r="F749" s="25" t="s">
        <v>203</v>
      </c>
      <c r="G749" s="3">
        <v>636</v>
      </c>
      <c r="H749" s="3" t="s">
        <v>138</v>
      </c>
      <c r="I749" s="18">
        <f>10000-1000</f>
        <v>9000</v>
      </c>
      <c r="J749" s="18">
        <v>9000</v>
      </c>
      <c r="K749" s="218">
        <f t="shared" si="66"/>
        <v>100</v>
      </c>
      <c r="L749" s="279"/>
      <c r="M749" s="285"/>
      <c r="N749" s="18"/>
      <c r="O749" s="218"/>
      <c r="P749" s="279"/>
      <c r="Q749" s="285">
        <f t="shared" si="71"/>
        <v>9000</v>
      </c>
      <c r="R749" s="18">
        <f t="shared" si="71"/>
        <v>9000</v>
      </c>
      <c r="S749" s="219">
        <f t="shared" si="67"/>
        <v>100</v>
      </c>
    </row>
    <row r="750" spans="2:19" x14ac:dyDescent="0.2">
      <c r="B750" s="78">
        <f t="shared" si="68"/>
        <v>177</v>
      </c>
      <c r="C750" s="3"/>
      <c r="D750" s="3"/>
      <c r="E750" s="3"/>
      <c r="F750" s="25" t="s">
        <v>203</v>
      </c>
      <c r="G750" s="3">
        <v>637</v>
      </c>
      <c r="H750" s="3" t="s">
        <v>134</v>
      </c>
      <c r="I750" s="18">
        <f>1420+40+1241</f>
        <v>2701</v>
      </c>
      <c r="J750" s="18">
        <v>2701</v>
      </c>
      <c r="K750" s="218">
        <f t="shared" si="66"/>
        <v>100</v>
      </c>
      <c r="L750" s="279"/>
      <c r="M750" s="285"/>
      <c r="N750" s="18"/>
      <c r="O750" s="218"/>
      <c r="P750" s="279"/>
      <c r="Q750" s="285">
        <f t="shared" si="71"/>
        <v>2701</v>
      </c>
      <c r="R750" s="18">
        <f t="shared" si="71"/>
        <v>2701</v>
      </c>
      <c r="S750" s="219">
        <f t="shared" si="67"/>
        <v>100</v>
      </c>
    </row>
    <row r="751" spans="2:19" x14ac:dyDescent="0.2">
      <c r="B751" s="78">
        <f t="shared" si="68"/>
        <v>178</v>
      </c>
      <c r="C751" s="7"/>
      <c r="D751" s="7"/>
      <c r="E751" s="7"/>
      <c r="F751" s="24" t="s">
        <v>203</v>
      </c>
      <c r="G751" s="7">
        <v>640</v>
      </c>
      <c r="H751" s="7" t="s">
        <v>141</v>
      </c>
      <c r="I751" s="22">
        <v>1942</v>
      </c>
      <c r="J751" s="22">
        <v>1481</v>
      </c>
      <c r="K751" s="218">
        <f t="shared" si="66"/>
        <v>76.261585993820802</v>
      </c>
      <c r="L751" s="278"/>
      <c r="M751" s="284"/>
      <c r="N751" s="22"/>
      <c r="O751" s="218"/>
      <c r="P751" s="278"/>
      <c r="Q751" s="284">
        <f t="shared" si="71"/>
        <v>1942</v>
      </c>
      <c r="R751" s="22">
        <f t="shared" si="71"/>
        <v>1481</v>
      </c>
      <c r="S751" s="219">
        <f t="shared" si="67"/>
        <v>76.261585993820802</v>
      </c>
    </row>
    <row r="752" spans="2:19" x14ac:dyDescent="0.2">
      <c r="B752" s="78">
        <f t="shared" si="68"/>
        <v>179</v>
      </c>
      <c r="C752" s="7"/>
      <c r="D752" s="7"/>
      <c r="E752" s="7"/>
      <c r="F752" s="25" t="s">
        <v>203</v>
      </c>
      <c r="G752" s="3">
        <v>717</v>
      </c>
      <c r="H752" s="3" t="s">
        <v>198</v>
      </c>
      <c r="I752" s="18"/>
      <c r="J752" s="18"/>
      <c r="K752" s="218"/>
      <c r="L752" s="279"/>
      <c r="M752" s="285">
        <f>M753</f>
        <v>10000</v>
      </c>
      <c r="N752" s="18">
        <f>N753</f>
        <v>9873</v>
      </c>
      <c r="O752" s="218">
        <f t="shared" si="69"/>
        <v>98.72999999999999</v>
      </c>
      <c r="P752" s="279"/>
      <c r="Q752" s="347">
        <f t="shared" si="71"/>
        <v>10000</v>
      </c>
      <c r="R752" s="348">
        <f t="shared" si="71"/>
        <v>9873</v>
      </c>
      <c r="S752" s="219">
        <f t="shared" si="67"/>
        <v>98.72999999999999</v>
      </c>
    </row>
    <row r="753" spans="2:19" x14ac:dyDescent="0.2">
      <c r="B753" s="78">
        <f t="shared" si="68"/>
        <v>180</v>
      </c>
      <c r="C753" s="7"/>
      <c r="D753" s="7"/>
      <c r="E753" s="7"/>
      <c r="F753" s="30"/>
      <c r="G753" s="4"/>
      <c r="H753" s="45" t="s">
        <v>602</v>
      </c>
      <c r="I753" s="20"/>
      <c r="J753" s="20"/>
      <c r="K753" s="218"/>
      <c r="L753" s="280"/>
      <c r="M753" s="286">
        <v>10000</v>
      </c>
      <c r="N753" s="21">
        <v>9873</v>
      </c>
      <c r="O753" s="218">
        <f t="shared" si="69"/>
        <v>98.72999999999999</v>
      </c>
      <c r="P753" s="280"/>
      <c r="Q753" s="298">
        <f t="shared" si="71"/>
        <v>10000</v>
      </c>
      <c r="R753" s="21">
        <f t="shared" si="71"/>
        <v>9873</v>
      </c>
      <c r="S753" s="219">
        <f t="shared" si="67"/>
        <v>98.72999999999999</v>
      </c>
    </row>
    <row r="754" spans="2:19" x14ac:dyDescent="0.2">
      <c r="B754" s="78">
        <f t="shared" si="68"/>
        <v>181</v>
      </c>
      <c r="C754" s="6"/>
      <c r="D754" s="6"/>
      <c r="E754" s="6" t="s">
        <v>114</v>
      </c>
      <c r="F754" s="28"/>
      <c r="G754" s="6"/>
      <c r="H754" s="6" t="s">
        <v>115</v>
      </c>
      <c r="I754" s="39">
        <f>I755+I756+I757+I763</f>
        <v>324438</v>
      </c>
      <c r="J754" s="39">
        <f>J755+J756+J757+J763</f>
        <v>322295</v>
      </c>
      <c r="K754" s="218">
        <f t="shared" si="66"/>
        <v>99.33947318131662</v>
      </c>
      <c r="L754" s="278"/>
      <c r="M754" s="343">
        <v>0</v>
      </c>
      <c r="N754" s="39">
        <v>0</v>
      </c>
      <c r="O754" s="218"/>
      <c r="P754" s="278"/>
      <c r="Q754" s="343">
        <f t="shared" si="71"/>
        <v>324438</v>
      </c>
      <c r="R754" s="39">
        <f t="shared" si="71"/>
        <v>322295</v>
      </c>
      <c r="S754" s="219">
        <f t="shared" si="67"/>
        <v>99.33947318131662</v>
      </c>
    </row>
    <row r="755" spans="2:19" x14ac:dyDescent="0.2">
      <c r="B755" s="78">
        <f t="shared" si="68"/>
        <v>182</v>
      </c>
      <c r="C755" s="7"/>
      <c r="D755" s="7"/>
      <c r="E755" s="7"/>
      <c r="F755" s="24" t="s">
        <v>203</v>
      </c>
      <c r="G755" s="7">
        <v>610</v>
      </c>
      <c r="H755" s="7" t="s">
        <v>143</v>
      </c>
      <c r="I755" s="22">
        <f>177378+11606-4009</f>
        <v>184975</v>
      </c>
      <c r="J755" s="22">
        <v>184975</v>
      </c>
      <c r="K755" s="218">
        <f t="shared" si="66"/>
        <v>100</v>
      </c>
      <c r="L755" s="278"/>
      <c r="M755" s="284"/>
      <c r="N755" s="22"/>
      <c r="O755" s="218"/>
      <c r="P755" s="278"/>
      <c r="Q755" s="284">
        <f t="shared" si="71"/>
        <v>184975</v>
      </c>
      <c r="R755" s="22">
        <f t="shared" si="71"/>
        <v>184975</v>
      </c>
      <c r="S755" s="219">
        <f t="shared" si="67"/>
        <v>100</v>
      </c>
    </row>
    <row r="756" spans="2:19" x14ac:dyDescent="0.2">
      <c r="B756" s="78">
        <f t="shared" si="68"/>
        <v>183</v>
      </c>
      <c r="C756" s="7"/>
      <c r="D756" s="7"/>
      <c r="E756" s="7"/>
      <c r="F756" s="24" t="s">
        <v>203</v>
      </c>
      <c r="G756" s="7">
        <v>620</v>
      </c>
      <c r="H756" s="7" t="s">
        <v>136</v>
      </c>
      <c r="I756" s="22">
        <f>66792+4288-1401</f>
        <v>69679</v>
      </c>
      <c r="J756" s="22">
        <v>69679</v>
      </c>
      <c r="K756" s="218">
        <f t="shared" si="66"/>
        <v>100</v>
      </c>
      <c r="L756" s="278"/>
      <c r="M756" s="284"/>
      <c r="N756" s="22"/>
      <c r="O756" s="218"/>
      <c r="P756" s="278"/>
      <c r="Q756" s="284">
        <f t="shared" si="71"/>
        <v>69679</v>
      </c>
      <c r="R756" s="22">
        <f t="shared" si="71"/>
        <v>69679</v>
      </c>
      <c r="S756" s="219">
        <f t="shared" si="67"/>
        <v>100</v>
      </c>
    </row>
    <row r="757" spans="2:19" x14ac:dyDescent="0.2">
      <c r="B757" s="78">
        <f t="shared" si="68"/>
        <v>184</v>
      </c>
      <c r="C757" s="7"/>
      <c r="D757" s="7"/>
      <c r="E757" s="7"/>
      <c r="F757" s="24" t="s">
        <v>203</v>
      </c>
      <c r="G757" s="7">
        <v>630</v>
      </c>
      <c r="H757" s="7" t="s">
        <v>133</v>
      </c>
      <c r="I757" s="22">
        <f>SUM(I758:I762)</f>
        <v>65988</v>
      </c>
      <c r="J757" s="22">
        <f>SUM(J758:J762)</f>
        <v>63845</v>
      </c>
      <c r="K757" s="218">
        <f t="shared" si="66"/>
        <v>96.75243983754622</v>
      </c>
      <c r="L757" s="278"/>
      <c r="M757" s="284"/>
      <c r="N757" s="22"/>
      <c r="O757" s="218"/>
      <c r="P757" s="278"/>
      <c r="Q757" s="284">
        <f t="shared" si="71"/>
        <v>65988</v>
      </c>
      <c r="R757" s="22">
        <f t="shared" si="71"/>
        <v>63845</v>
      </c>
      <c r="S757" s="219">
        <f t="shared" si="67"/>
        <v>96.75243983754622</v>
      </c>
    </row>
    <row r="758" spans="2:19" x14ac:dyDescent="0.2">
      <c r="B758" s="78">
        <f t="shared" si="68"/>
        <v>185</v>
      </c>
      <c r="C758" s="3"/>
      <c r="D758" s="3"/>
      <c r="E758" s="3"/>
      <c r="F758" s="25" t="s">
        <v>203</v>
      </c>
      <c r="G758" s="3">
        <v>632</v>
      </c>
      <c r="H758" s="3" t="s">
        <v>146</v>
      </c>
      <c r="I758" s="18">
        <f>12500-2500</f>
        <v>10000</v>
      </c>
      <c r="J758" s="18">
        <v>10000</v>
      </c>
      <c r="K758" s="218">
        <f t="shared" si="66"/>
        <v>100</v>
      </c>
      <c r="L758" s="279"/>
      <c r="M758" s="285"/>
      <c r="N758" s="18"/>
      <c r="O758" s="218"/>
      <c r="P758" s="279"/>
      <c r="Q758" s="285">
        <f t="shared" si="71"/>
        <v>10000</v>
      </c>
      <c r="R758" s="18">
        <f t="shared" si="71"/>
        <v>10000</v>
      </c>
      <c r="S758" s="219">
        <f t="shared" si="67"/>
        <v>100</v>
      </c>
    </row>
    <row r="759" spans="2:19" x14ac:dyDescent="0.2">
      <c r="B759" s="78">
        <f t="shared" si="68"/>
        <v>186</v>
      </c>
      <c r="C759" s="3"/>
      <c r="D759" s="3"/>
      <c r="E759" s="3"/>
      <c r="F759" s="25" t="s">
        <v>203</v>
      </c>
      <c r="G759" s="3">
        <v>633</v>
      </c>
      <c r="H759" s="3" t="s">
        <v>137</v>
      </c>
      <c r="I759" s="18">
        <f>13086+5245+2077</f>
        <v>20408</v>
      </c>
      <c r="J759" s="18">
        <v>18264</v>
      </c>
      <c r="K759" s="218">
        <f t="shared" si="66"/>
        <v>89.494315954527636</v>
      </c>
      <c r="L759" s="279"/>
      <c r="M759" s="285"/>
      <c r="N759" s="18"/>
      <c r="O759" s="218"/>
      <c r="P759" s="279"/>
      <c r="Q759" s="285">
        <f t="shared" si="71"/>
        <v>20408</v>
      </c>
      <c r="R759" s="18">
        <f t="shared" si="71"/>
        <v>18264</v>
      </c>
      <c r="S759" s="219">
        <f t="shared" si="67"/>
        <v>89.494315954527636</v>
      </c>
    </row>
    <row r="760" spans="2:19" x14ac:dyDescent="0.2">
      <c r="B760" s="78">
        <f t="shared" si="68"/>
        <v>187</v>
      </c>
      <c r="C760" s="3"/>
      <c r="D760" s="3"/>
      <c r="E760" s="3"/>
      <c r="F760" s="25" t="s">
        <v>203</v>
      </c>
      <c r="G760" s="3">
        <v>635</v>
      </c>
      <c r="H760" s="3" t="s">
        <v>145</v>
      </c>
      <c r="I760" s="18">
        <f>4500+20000</f>
        <v>24500</v>
      </c>
      <c r="J760" s="18">
        <v>24501</v>
      </c>
      <c r="K760" s="218">
        <f t="shared" si="66"/>
        <v>100.00408163265307</v>
      </c>
      <c r="L760" s="279"/>
      <c r="M760" s="285"/>
      <c r="N760" s="18"/>
      <c r="O760" s="218"/>
      <c r="P760" s="279"/>
      <c r="Q760" s="285">
        <f t="shared" si="71"/>
        <v>24500</v>
      </c>
      <c r="R760" s="18">
        <f t="shared" si="71"/>
        <v>24501</v>
      </c>
      <c r="S760" s="219">
        <f t="shared" si="67"/>
        <v>100.00408163265307</v>
      </c>
    </row>
    <row r="761" spans="2:19" x14ac:dyDescent="0.2">
      <c r="B761" s="78">
        <f t="shared" si="68"/>
        <v>188</v>
      </c>
      <c r="C761" s="3"/>
      <c r="D761" s="3"/>
      <c r="E761" s="3"/>
      <c r="F761" s="25" t="s">
        <v>203</v>
      </c>
      <c r="G761" s="3">
        <v>636</v>
      </c>
      <c r="H761" s="3" t="s">
        <v>138</v>
      </c>
      <c r="I761" s="18">
        <v>3500</v>
      </c>
      <c r="J761" s="18">
        <v>3500</v>
      </c>
      <c r="K761" s="218">
        <f t="shared" si="66"/>
        <v>100</v>
      </c>
      <c r="L761" s="279"/>
      <c r="M761" s="285"/>
      <c r="N761" s="18"/>
      <c r="O761" s="218"/>
      <c r="P761" s="279"/>
      <c r="Q761" s="285">
        <f t="shared" si="71"/>
        <v>3500</v>
      </c>
      <c r="R761" s="18">
        <f t="shared" si="71"/>
        <v>3500</v>
      </c>
      <c r="S761" s="219">
        <f t="shared" si="67"/>
        <v>100</v>
      </c>
    </row>
    <row r="762" spans="2:19" x14ac:dyDescent="0.2">
      <c r="B762" s="78">
        <f t="shared" si="68"/>
        <v>189</v>
      </c>
      <c r="C762" s="3"/>
      <c r="D762" s="3"/>
      <c r="E762" s="3"/>
      <c r="F762" s="25" t="s">
        <v>203</v>
      </c>
      <c r="G762" s="3">
        <v>637</v>
      </c>
      <c r="H762" s="3" t="s">
        <v>134</v>
      </c>
      <c r="I762" s="18">
        <f>7345+235</f>
        <v>7580</v>
      </c>
      <c r="J762" s="18">
        <v>7580</v>
      </c>
      <c r="K762" s="218">
        <f t="shared" si="66"/>
        <v>100</v>
      </c>
      <c r="L762" s="279"/>
      <c r="M762" s="285"/>
      <c r="N762" s="18"/>
      <c r="O762" s="218"/>
      <c r="P762" s="279"/>
      <c r="Q762" s="285">
        <f t="shared" si="71"/>
        <v>7580</v>
      </c>
      <c r="R762" s="18">
        <f t="shared" si="71"/>
        <v>7580</v>
      </c>
      <c r="S762" s="219">
        <f t="shared" si="67"/>
        <v>100</v>
      </c>
    </row>
    <row r="763" spans="2:19" x14ac:dyDescent="0.2">
      <c r="B763" s="78">
        <f t="shared" si="68"/>
        <v>190</v>
      </c>
      <c r="C763" s="7"/>
      <c r="D763" s="7"/>
      <c r="E763" s="7"/>
      <c r="F763" s="24" t="s">
        <v>203</v>
      </c>
      <c r="G763" s="7">
        <v>640</v>
      </c>
      <c r="H763" s="7" t="s">
        <v>141</v>
      </c>
      <c r="I763" s="22">
        <v>3796</v>
      </c>
      <c r="J763" s="22">
        <v>3796</v>
      </c>
      <c r="K763" s="218">
        <f t="shared" si="66"/>
        <v>100</v>
      </c>
      <c r="L763" s="278"/>
      <c r="M763" s="284"/>
      <c r="N763" s="22"/>
      <c r="O763" s="218"/>
      <c r="P763" s="278"/>
      <c r="Q763" s="284">
        <f t="shared" si="71"/>
        <v>3796</v>
      </c>
      <c r="R763" s="22">
        <f t="shared" si="71"/>
        <v>3796</v>
      </c>
      <c r="S763" s="219">
        <f t="shared" si="67"/>
        <v>100</v>
      </c>
    </row>
    <row r="764" spans="2:19" ht="15" x14ac:dyDescent="0.2">
      <c r="B764" s="78">
        <f t="shared" si="68"/>
        <v>191</v>
      </c>
      <c r="C764" s="430">
        <v>2</v>
      </c>
      <c r="D764" s="505" t="s">
        <v>197</v>
      </c>
      <c r="E764" s="494"/>
      <c r="F764" s="494"/>
      <c r="G764" s="494"/>
      <c r="H764" s="495"/>
      <c r="I764" s="35">
        <f>I765+I767+I779+I802+I827+I847+I875+I902+I927+I951</f>
        <v>8324695</v>
      </c>
      <c r="J764" s="35">
        <f>J765+J767+J779+J802+J827+J847+J875+J902+J927+J951</f>
        <v>8241457</v>
      </c>
      <c r="K764" s="218">
        <f t="shared" ref="K764:K823" si="72">J764/I764*100</f>
        <v>99.000107511446373</v>
      </c>
      <c r="L764" s="276"/>
      <c r="M764" s="282">
        <f>M765+M767+M779+M802+M827+M847+M875+M902+M927+M951</f>
        <v>474679</v>
      </c>
      <c r="N764" s="35">
        <f>N765+N767+N779+N802+N827+N847+N875+N902+N927+N951</f>
        <v>452742</v>
      </c>
      <c r="O764" s="218">
        <f t="shared" ref="O764:O826" si="73">N764/M764*100</f>
        <v>95.378561090758168</v>
      </c>
      <c r="P764" s="276"/>
      <c r="Q764" s="282">
        <f t="shared" si="71"/>
        <v>8799374</v>
      </c>
      <c r="R764" s="35">
        <f t="shared" si="71"/>
        <v>8694199</v>
      </c>
      <c r="S764" s="219">
        <f t="shared" si="67"/>
        <v>98.804744519326036</v>
      </c>
    </row>
    <row r="765" spans="2:19" x14ac:dyDescent="0.2">
      <c r="B765" s="78">
        <f t="shared" si="68"/>
        <v>192</v>
      </c>
      <c r="C765" s="7"/>
      <c r="D765" s="7"/>
      <c r="E765" s="7"/>
      <c r="F765" s="24" t="s">
        <v>131</v>
      </c>
      <c r="G765" s="7">
        <v>630</v>
      </c>
      <c r="H765" s="7" t="s">
        <v>133</v>
      </c>
      <c r="I765" s="22">
        <f>I766</f>
        <v>1790</v>
      </c>
      <c r="J765" s="22">
        <f>J766</f>
        <v>0</v>
      </c>
      <c r="K765" s="218">
        <f t="shared" si="72"/>
        <v>0</v>
      </c>
      <c r="L765" s="278"/>
      <c r="M765" s="284"/>
      <c r="N765" s="22"/>
      <c r="O765" s="218"/>
      <c r="P765" s="278"/>
      <c r="Q765" s="284">
        <f t="shared" si="71"/>
        <v>1790</v>
      </c>
      <c r="R765" s="22">
        <f t="shared" si="71"/>
        <v>0</v>
      </c>
      <c r="S765" s="219">
        <f t="shared" si="67"/>
        <v>0</v>
      </c>
    </row>
    <row r="766" spans="2:19" x14ac:dyDescent="0.2">
      <c r="B766" s="78">
        <f t="shared" si="68"/>
        <v>193</v>
      </c>
      <c r="C766" s="3"/>
      <c r="D766" s="3"/>
      <c r="E766" s="3"/>
      <c r="F766" s="25" t="s">
        <v>131</v>
      </c>
      <c r="G766" s="3">
        <v>637</v>
      </c>
      <c r="H766" s="3" t="s">
        <v>437</v>
      </c>
      <c r="I766" s="18">
        <f>2750-960</f>
        <v>1790</v>
      </c>
      <c r="J766" s="18"/>
      <c r="K766" s="218">
        <f t="shared" si="72"/>
        <v>0</v>
      </c>
      <c r="L766" s="279"/>
      <c r="M766" s="285"/>
      <c r="N766" s="18"/>
      <c r="O766" s="218"/>
      <c r="P766" s="279"/>
      <c r="Q766" s="285">
        <f t="shared" si="71"/>
        <v>1790</v>
      </c>
      <c r="R766" s="18">
        <f t="shared" si="71"/>
        <v>0</v>
      </c>
      <c r="S766" s="219">
        <f t="shared" ref="S766:S829" si="74">R766/Q766*100</f>
        <v>0</v>
      </c>
    </row>
    <row r="767" spans="2:19" ht="15" x14ac:dyDescent="0.25">
      <c r="B767" s="78">
        <f t="shared" si="68"/>
        <v>194</v>
      </c>
      <c r="C767" s="10"/>
      <c r="D767" s="10"/>
      <c r="E767" s="10">
        <v>4</v>
      </c>
      <c r="F767" s="27"/>
      <c r="G767" s="10"/>
      <c r="H767" s="10" t="s">
        <v>90</v>
      </c>
      <c r="I767" s="37">
        <f>I768</f>
        <v>119722</v>
      </c>
      <c r="J767" s="37">
        <f>J768</f>
        <v>117620</v>
      </c>
      <c r="K767" s="218">
        <f t="shared" si="72"/>
        <v>98.244265882628085</v>
      </c>
      <c r="L767" s="295"/>
      <c r="M767" s="299">
        <v>0</v>
      </c>
      <c r="N767" s="37">
        <v>0</v>
      </c>
      <c r="O767" s="218"/>
      <c r="P767" s="295"/>
      <c r="Q767" s="299">
        <f t="shared" si="71"/>
        <v>119722</v>
      </c>
      <c r="R767" s="37">
        <f t="shared" si="71"/>
        <v>117620</v>
      </c>
      <c r="S767" s="219">
        <f t="shared" si="74"/>
        <v>98.244265882628085</v>
      </c>
    </row>
    <row r="768" spans="2:19" x14ac:dyDescent="0.2">
      <c r="B768" s="78">
        <f t="shared" si="68"/>
        <v>195</v>
      </c>
      <c r="C768" s="6"/>
      <c r="D768" s="6"/>
      <c r="E768" s="6" t="s">
        <v>98</v>
      </c>
      <c r="F768" s="28"/>
      <c r="G768" s="6"/>
      <c r="H768" s="6" t="s">
        <v>99</v>
      </c>
      <c r="I768" s="39">
        <f>I769+I770+I771+I778+I777</f>
        <v>119722</v>
      </c>
      <c r="J768" s="39">
        <f>J769+J770+J771+J778+J777</f>
        <v>117620</v>
      </c>
      <c r="K768" s="218">
        <f t="shared" si="72"/>
        <v>98.244265882628085</v>
      </c>
      <c r="L768" s="278"/>
      <c r="M768" s="343">
        <v>0</v>
      </c>
      <c r="N768" s="39">
        <v>0</v>
      </c>
      <c r="O768" s="218"/>
      <c r="P768" s="278"/>
      <c r="Q768" s="343">
        <f t="shared" si="71"/>
        <v>119722</v>
      </c>
      <c r="R768" s="39">
        <f t="shared" si="71"/>
        <v>117620</v>
      </c>
      <c r="S768" s="219">
        <f t="shared" si="74"/>
        <v>98.244265882628085</v>
      </c>
    </row>
    <row r="769" spans="2:19" x14ac:dyDescent="0.2">
      <c r="B769" s="78">
        <f t="shared" ref="B769:B832" si="75">B768+1</f>
        <v>196</v>
      </c>
      <c r="C769" s="7"/>
      <c r="D769" s="7"/>
      <c r="E769" s="7"/>
      <c r="F769" s="24" t="s">
        <v>131</v>
      </c>
      <c r="G769" s="7">
        <v>610</v>
      </c>
      <c r="H769" s="7" t="s">
        <v>143</v>
      </c>
      <c r="I769" s="22">
        <f>71100+465+5790-500-2585</f>
        <v>74270</v>
      </c>
      <c r="J769" s="22">
        <v>74270</v>
      </c>
      <c r="K769" s="218">
        <f t="shared" si="72"/>
        <v>100</v>
      </c>
      <c r="L769" s="278"/>
      <c r="M769" s="284"/>
      <c r="N769" s="22"/>
      <c r="O769" s="218"/>
      <c r="P769" s="278"/>
      <c r="Q769" s="284">
        <f t="shared" si="71"/>
        <v>74270</v>
      </c>
      <c r="R769" s="22">
        <f t="shared" si="71"/>
        <v>74270</v>
      </c>
      <c r="S769" s="219">
        <f t="shared" si="74"/>
        <v>100</v>
      </c>
    </row>
    <row r="770" spans="2:19" x14ac:dyDescent="0.2">
      <c r="B770" s="78">
        <f t="shared" si="75"/>
        <v>197</v>
      </c>
      <c r="C770" s="7"/>
      <c r="D770" s="7"/>
      <c r="E770" s="7"/>
      <c r="F770" s="24" t="s">
        <v>131</v>
      </c>
      <c r="G770" s="7">
        <v>620</v>
      </c>
      <c r="H770" s="7" t="s">
        <v>136</v>
      </c>
      <c r="I770" s="22">
        <f>25739+172+1033-809</f>
        <v>26135</v>
      </c>
      <c r="J770" s="22">
        <v>26135</v>
      </c>
      <c r="K770" s="218">
        <f t="shared" si="72"/>
        <v>100</v>
      </c>
      <c r="L770" s="278"/>
      <c r="M770" s="284"/>
      <c r="N770" s="22"/>
      <c r="O770" s="218"/>
      <c r="P770" s="278"/>
      <c r="Q770" s="284">
        <f t="shared" si="71"/>
        <v>26135</v>
      </c>
      <c r="R770" s="22">
        <f t="shared" si="71"/>
        <v>26135</v>
      </c>
      <c r="S770" s="219">
        <f t="shared" si="74"/>
        <v>100</v>
      </c>
    </row>
    <row r="771" spans="2:19" x14ac:dyDescent="0.2">
      <c r="B771" s="78">
        <f t="shared" si="75"/>
        <v>198</v>
      </c>
      <c r="C771" s="7"/>
      <c r="D771" s="7"/>
      <c r="E771" s="7"/>
      <c r="F771" s="24" t="s">
        <v>131</v>
      </c>
      <c r="G771" s="7">
        <v>630</v>
      </c>
      <c r="H771" s="7" t="s">
        <v>133</v>
      </c>
      <c r="I771" s="22">
        <f>SUM(I772:I776)</f>
        <v>17106</v>
      </c>
      <c r="J771" s="22">
        <f>SUM(J772:J776)</f>
        <v>15004</v>
      </c>
      <c r="K771" s="218">
        <f t="shared" si="72"/>
        <v>87.711913948322234</v>
      </c>
      <c r="L771" s="278"/>
      <c r="M771" s="284"/>
      <c r="N771" s="22"/>
      <c r="O771" s="218"/>
      <c r="P771" s="278"/>
      <c r="Q771" s="284">
        <f t="shared" si="71"/>
        <v>17106</v>
      </c>
      <c r="R771" s="22">
        <f t="shared" si="71"/>
        <v>15004</v>
      </c>
      <c r="S771" s="219">
        <f t="shared" si="74"/>
        <v>87.711913948322234</v>
      </c>
    </row>
    <row r="772" spans="2:19" x14ac:dyDescent="0.2">
      <c r="B772" s="78">
        <f t="shared" si="75"/>
        <v>199</v>
      </c>
      <c r="C772" s="3"/>
      <c r="D772" s="3"/>
      <c r="E772" s="3"/>
      <c r="F772" s="25" t="s">
        <v>131</v>
      </c>
      <c r="G772" s="3">
        <v>632</v>
      </c>
      <c r="H772" s="3" t="s">
        <v>146</v>
      </c>
      <c r="I772" s="18">
        <v>5700</v>
      </c>
      <c r="J772" s="18">
        <v>4450</v>
      </c>
      <c r="K772" s="218">
        <f t="shared" si="72"/>
        <v>78.070175438596493</v>
      </c>
      <c r="L772" s="279"/>
      <c r="M772" s="285"/>
      <c r="N772" s="18"/>
      <c r="O772" s="218"/>
      <c r="P772" s="279"/>
      <c r="Q772" s="285">
        <f t="shared" si="71"/>
        <v>5700</v>
      </c>
      <c r="R772" s="18">
        <f t="shared" si="71"/>
        <v>4450</v>
      </c>
      <c r="S772" s="219">
        <f t="shared" si="74"/>
        <v>78.070175438596493</v>
      </c>
    </row>
    <row r="773" spans="2:19" x14ac:dyDescent="0.2">
      <c r="B773" s="78">
        <f t="shared" si="75"/>
        <v>200</v>
      </c>
      <c r="C773" s="3"/>
      <c r="D773" s="3"/>
      <c r="E773" s="3"/>
      <c r="F773" s="25" t="s">
        <v>131</v>
      </c>
      <c r="G773" s="3">
        <v>633</v>
      </c>
      <c r="H773" s="3" t="s">
        <v>137</v>
      </c>
      <c r="I773" s="18">
        <f>3444+3930+317</f>
        <v>7691</v>
      </c>
      <c r="J773" s="18">
        <v>7059</v>
      </c>
      <c r="K773" s="218">
        <f t="shared" si="72"/>
        <v>91.782603042517223</v>
      </c>
      <c r="L773" s="279"/>
      <c r="M773" s="285"/>
      <c r="N773" s="18"/>
      <c r="O773" s="218"/>
      <c r="P773" s="279"/>
      <c r="Q773" s="285">
        <f t="shared" si="71"/>
        <v>7691</v>
      </c>
      <c r="R773" s="18">
        <f t="shared" si="71"/>
        <v>7059</v>
      </c>
      <c r="S773" s="219">
        <f t="shared" si="74"/>
        <v>91.782603042517223</v>
      </c>
    </row>
    <row r="774" spans="2:19" x14ac:dyDescent="0.2">
      <c r="B774" s="78">
        <f t="shared" si="75"/>
        <v>201</v>
      </c>
      <c r="C774" s="3"/>
      <c r="D774" s="3"/>
      <c r="E774" s="3"/>
      <c r="F774" s="25" t="s">
        <v>131</v>
      </c>
      <c r="G774" s="3">
        <v>634</v>
      </c>
      <c r="H774" s="3" t="s">
        <v>144</v>
      </c>
      <c r="I774" s="18">
        <v>285</v>
      </c>
      <c r="J774" s="18">
        <v>285</v>
      </c>
      <c r="K774" s="218">
        <f t="shared" si="72"/>
        <v>100</v>
      </c>
      <c r="L774" s="279"/>
      <c r="M774" s="285"/>
      <c r="N774" s="18"/>
      <c r="O774" s="218"/>
      <c r="P774" s="279"/>
      <c r="Q774" s="285">
        <f t="shared" si="71"/>
        <v>285</v>
      </c>
      <c r="R774" s="18">
        <f t="shared" si="71"/>
        <v>285</v>
      </c>
      <c r="S774" s="219">
        <f t="shared" si="74"/>
        <v>100</v>
      </c>
    </row>
    <row r="775" spans="2:19" x14ac:dyDescent="0.2">
      <c r="B775" s="78">
        <f t="shared" si="75"/>
        <v>202</v>
      </c>
      <c r="C775" s="3"/>
      <c r="D775" s="3"/>
      <c r="E775" s="3"/>
      <c r="F775" s="25" t="s">
        <v>131</v>
      </c>
      <c r="G775" s="3">
        <v>635</v>
      </c>
      <c r="H775" s="3" t="s">
        <v>145</v>
      </c>
      <c r="I775" s="18">
        <v>1000</v>
      </c>
      <c r="J775" s="18">
        <v>780</v>
      </c>
      <c r="K775" s="218">
        <f t="shared" si="72"/>
        <v>78</v>
      </c>
      <c r="L775" s="279"/>
      <c r="M775" s="285"/>
      <c r="N775" s="18"/>
      <c r="O775" s="218"/>
      <c r="P775" s="279"/>
      <c r="Q775" s="285">
        <f t="shared" si="71"/>
        <v>1000</v>
      </c>
      <c r="R775" s="18">
        <f t="shared" si="71"/>
        <v>780</v>
      </c>
      <c r="S775" s="219">
        <f t="shared" si="74"/>
        <v>78</v>
      </c>
    </row>
    <row r="776" spans="2:19" x14ac:dyDescent="0.2">
      <c r="B776" s="78">
        <f t="shared" si="75"/>
        <v>203</v>
      </c>
      <c r="C776" s="3"/>
      <c r="D776" s="3"/>
      <c r="E776" s="3"/>
      <c r="F776" s="25" t="s">
        <v>131</v>
      </c>
      <c r="G776" s="3">
        <v>637</v>
      </c>
      <c r="H776" s="3" t="s">
        <v>134</v>
      </c>
      <c r="I776" s="18">
        <f>5370-2940</f>
        <v>2430</v>
      </c>
      <c r="J776" s="18">
        <v>2430</v>
      </c>
      <c r="K776" s="218">
        <f t="shared" si="72"/>
        <v>100</v>
      </c>
      <c r="L776" s="279"/>
      <c r="M776" s="285"/>
      <c r="N776" s="18"/>
      <c r="O776" s="218"/>
      <c r="P776" s="279"/>
      <c r="Q776" s="285">
        <f t="shared" si="71"/>
        <v>2430</v>
      </c>
      <c r="R776" s="18">
        <f t="shared" si="71"/>
        <v>2430</v>
      </c>
      <c r="S776" s="219">
        <f t="shared" si="74"/>
        <v>100</v>
      </c>
    </row>
    <row r="777" spans="2:19" x14ac:dyDescent="0.2">
      <c r="B777" s="78">
        <f t="shared" si="75"/>
        <v>204</v>
      </c>
      <c r="C777" s="3"/>
      <c r="D777" s="3"/>
      <c r="E777" s="3"/>
      <c r="F777" s="25" t="s">
        <v>131</v>
      </c>
      <c r="G777" s="2">
        <v>640</v>
      </c>
      <c r="H777" s="2" t="s">
        <v>141</v>
      </c>
      <c r="I777" s="17">
        <v>216</v>
      </c>
      <c r="J777" s="17">
        <v>216</v>
      </c>
      <c r="K777" s="218">
        <f t="shared" si="72"/>
        <v>100</v>
      </c>
      <c r="L777" s="278"/>
      <c r="M777" s="285"/>
      <c r="N777" s="18"/>
      <c r="O777" s="218"/>
      <c r="P777" s="279"/>
      <c r="Q777" s="285">
        <f>I777</f>
        <v>216</v>
      </c>
      <c r="R777" s="18">
        <f>J777</f>
        <v>216</v>
      </c>
      <c r="S777" s="219">
        <f t="shared" si="74"/>
        <v>100</v>
      </c>
    </row>
    <row r="778" spans="2:19" x14ac:dyDescent="0.2">
      <c r="B778" s="78">
        <f t="shared" si="75"/>
        <v>205</v>
      </c>
      <c r="C778" s="3"/>
      <c r="D778" s="3"/>
      <c r="E778" s="3"/>
      <c r="F778" s="25"/>
      <c r="G778" s="2">
        <v>630</v>
      </c>
      <c r="H778" s="2" t="s">
        <v>574</v>
      </c>
      <c r="I778" s="17">
        <v>1995</v>
      </c>
      <c r="J778" s="17">
        <v>1995</v>
      </c>
      <c r="K778" s="218">
        <f t="shared" si="72"/>
        <v>100</v>
      </c>
      <c r="L778" s="278"/>
      <c r="M778" s="285"/>
      <c r="N778" s="18"/>
      <c r="O778" s="218"/>
      <c r="P778" s="279"/>
      <c r="Q778" s="285">
        <f>I778</f>
        <v>1995</v>
      </c>
      <c r="R778" s="18">
        <f>J778</f>
        <v>1995</v>
      </c>
      <c r="S778" s="219">
        <f t="shared" si="74"/>
        <v>100</v>
      </c>
    </row>
    <row r="779" spans="2:19" ht="15" x14ac:dyDescent="0.25">
      <c r="B779" s="78">
        <f t="shared" si="75"/>
        <v>206</v>
      </c>
      <c r="C779" s="10"/>
      <c r="D779" s="10"/>
      <c r="E779" s="10">
        <v>6</v>
      </c>
      <c r="F779" s="27"/>
      <c r="G779" s="10"/>
      <c r="H779" s="10" t="s">
        <v>12</v>
      </c>
      <c r="I779" s="37">
        <f>I780+I781+I782+I789+I790+I791+I792+I799+I800+I801</f>
        <v>853505</v>
      </c>
      <c r="J779" s="37">
        <f>J780+J781+J782+J789+J790+J791+J792+J799+J800+J801</f>
        <v>828809</v>
      </c>
      <c r="K779" s="218">
        <f t="shared" si="72"/>
        <v>97.106519586879983</v>
      </c>
      <c r="L779" s="295"/>
      <c r="M779" s="299">
        <v>0</v>
      </c>
      <c r="N779" s="37">
        <v>0</v>
      </c>
      <c r="O779" s="218"/>
      <c r="P779" s="295"/>
      <c r="Q779" s="299">
        <f t="shared" si="71"/>
        <v>853505</v>
      </c>
      <c r="R779" s="37">
        <f t="shared" si="71"/>
        <v>828809</v>
      </c>
      <c r="S779" s="219">
        <f t="shared" si="74"/>
        <v>97.106519586879983</v>
      </c>
    </row>
    <row r="780" spans="2:19" x14ac:dyDescent="0.2">
      <c r="B780" s="78">
        <f t="shared" si="75"/>
        <v>207</v>
      </c>
      <c r="C780" s="7"/>
      <c r="D780" s="7"/>
      <c r="E780" s="7"/>
      <c r="F780" s="24" t="s">
        <v>131</v>
      </c>
      <c r="G780" s="7">
        <v>610</v>
      </c>
      <c r="H780" s="7" t="s">
        <v>143</v>
      </c>
      <c r="I780" s="22">
        <f>223520+15607-15607+475</f>
        <v>223995</v>
      </c>
      <c r="J780" s="22">
        <v>223993</v>
      </c>
      <c r="K780" s="218">
        <f t="shared" si="72"/>
        <v>99.999107122926858</v>
      </c>
      <c r="L780" s="278"/>
      <c r="M780" s="284"/>
      <c r="N780" s="22"/>
      <c r="O780" s="218"/>
      <c r="P780" s="278"/>
      <c r="Q780" s="284">
        <f t="shared" si="71"/>
        <v>223995</v>
      </c>
      <c r="R780" s="22">
        <f t="shared" si="71"/>
        <v>223993</v>
      </c>
      <c r="S780" s="219">
        <f t="shared" si="74"/>
        <v>99.999107122926858</v>
      </c>
    </row>
    <row r="781" spans="2:19" x14ac:dyDescent="0.2">
      <c r="B781" s="78">
        <f t="shared" si="75"/>
        <v>208</v>
      </c>
      <c r="C781" s="7"/>
      <c r="D781" s="7"/>
      <c r="E781" s="7"/>
      <c r="F781" s="24" t="s">
        <v>131</v>
      </c>
      <c r="G781" s="7">
        <v>620</v>
      </c>
      <c r="H781" s="7" t="s">
        <v>136</v>
      </c>
      <c r="I781" s="22">
        <f>73573+5464-5464+3850</f>
        <v>77423</v>
      </c>
      <c r="J781" s="22">
        <v>77424</v>
      </c>
      <c r="K781" s="218">
        <f t="shared" si="72"/>
        <v>100.00129160585357</v>
      </c>
      <c r="L781" s="278"/>
      <c r="M781" s="284"/>
      <c r="N781" s="22"/>
      <c r="O781" s="218"/>
      <c r="P781" s="278"/>
      <c r="Q781" s="284">
        <f t="shared" si="71"/>
        <v>77423</v>
      </c>
      <c r="R781" s="22">
        <f t="shared" si="71"/>
        <v>77424</v>
      </c>
      <c r="S781" s="219">
        <f t="shared" si="74"/>
        <v>100.00129160585357</v>
      </c>
    </row>
    <row r="782" spans="2:19" x14ac:dyDescent="0.2">
      <c r="B782" s="78">
        <f t="shared" si="75"/>
        <v>209</v>
      </c>
      <c r="C782" s="7"/>
      <c r="D782" s="7"/>
      <c r="E782" s="7"/>
      <c r="F782" s="24" t="s">
        <v>131</v>
      </c>
      <c r="G782" s="7">
        <v>630</v>
      </c>
      <c r="H782" s="7" t="s">
        <v>133</v>
      </c>
      <c r="I782" s="22">
        <f>SUM(I783:I788)</f>
        <v>58776</v>
      </c>
      <c r="J782" s="22">
        <f>SUM(J783:J788)</f>
        <v>44408</v>
      </c>
      <c r="K782" s="218">
        <f t="shared" si="72"/>
        <v>75.554648155709813</v>
      </c>
      <c r="L782" s="278"/>
      <c r="M782" s="284"/>
      <c r="N782" s="22"/>
      <c r="O782" s="218"/>
      <c r="P782" s="278"/>
      <c r="Q782" s="284">
        <f t="shared" si="71"/>
        <v>58776</v>
      </c>
      <c r="R782" s="22">
        <f t="shared" si="71"/>
        <v>44408</v>
      </c>
      <c r="S782" s="219">
        <f t="shared" si="74"/>
        <v>75.554648155709813</v>
      </c>
    </row>
    <row r="783" spans="2:19" x14ac:dyDescent="0.2">
      <c r="B783" s="78">
        <f t="shared" si="75"/>
        <v>210</v>
      </c>
      <c r="C783" s="3"/>
      <c r="D783" s="3"/>
      <c r="E783" s="3"/>
      <c r="F783" s="25" t="s">
        <v>131</v>
      </c>
      <c r="G783" s="3">
        <v>631</v>
      </c>
      <c r="H783" s="3" t="s">
        <v>139</v>
      </c>
      <c r="I783" s="18">
        <f>249-237</f>
        <v>12</v>
      </c>
      <c r="J783" s="18">
        <v>11</v>
      </c>
      <c r="K783" s="218">
        <f t="shared" si="72"/>
        <v>91.666666666666657</v>
      </c>
      <c r="L783" s="279"/>
      <c r="M783" s="285"/>
      <c r="N783" s="18"/>
      <c r="O783" s="218"/>
      <c r="P783" s="279"/>
      <c r="Q783" s="285">
        <f t="shared" si="71"/>
        <v>12</v>
      </c>
      <c r="R783" s="18">
        <f t="shared" si="71"/>
        <v>11</v>
      </c>
      <c r="S783" s="219">
        <f t="shared" si="74"/>
        <v>91.666666666666657</v>
      </c>
    </row>
    <row r="784" spans="2:19" x14ac:dyDescent="0.2">
      <c r="B784" s="78">
        <f t="shared" si="75"/>
        <v>211</v>
      </c>
      <c r="C784" s="3"/>
      <c r="D784" s="3"/>
      <c r="E784" s="3"/>
      <c r="F784" s="25" t="s">
        <v>131</v>
      </c>
      <c r="G784" s="3">
        <v>632</v>
      </c>
      <c r="H784" s="3" t="s">
        <v>146</v>
      </c>
      <c r="I784" s="18">
        <f>34946-4998-1817</f>
        <v>28131</v>
      </c>
      <c r="J784" s="18">
        <v>21751</v>
      </c>
      <c r="K784" s="218">
        <f t="shared" si="72"/>
        <v>77.320393871529632</v>
      </c>
      <c r="L784" s="279"/>
      <c r="M784" s="285"/>
      <c r="N784" s="18"/>
      <c r="O784" s="218"/>
      <c r="P784" s="279"/>
      <c r="Q784" s="285">
        <f t="shared" si="71"/>
        <v>28131</v>
      </c>
      <c r="R784" s="18">
        <f t="shared" si="71"/>
        <v>21751</v>
      </c>
      <c r="S784" s="219">
        <f t="shared" si="74"/>
        <v>77.320393871529632</v>
      </c>
    </row>
    <row r="785" spans="2:19" x14ac:dyDescent="0.2">
      <c r="B785" s="78">
        <f t="shared" si="75"/>
        <v>212</v>
      </c>
      <c r="C785" s="3"/>
      <c r="D785" s="3"/>
      <c r="E785" s="3"/>
      <c r="F785" s="25" t="s">
        <v>131</v>
      </c>
      <c r="G785" s="3">
        <v>633</v>
      </c>
      <c r="H785" s="3" t="s">
        <v>137</v>
      </c>
      <c r="I785" s="18">
        <f>10317-1151</f>
        <v>9166</v>
      </c>
      <c r="J785" s="18">
        <v>7077</v>
      </c>
      <c r="K785" s="218">
        <f t="shared" si="72"/>
        <v>77.209251581933231</v>
      </c>
      <c r="L785" s="279"/>
      <c r="M785" s="285"/>
      <c r="N785" s="18"/>
      <c r="O785" s="218"/>
      <c r="P785" s="279"/>
      <c r="Q785" s="285">
        <f t="shared" si="71"/>
        <v>9166</v>
      </c>
      <c r="R785" s="18">
        <f t="shared" si="71"/>
        <v>7077</v>
      </c>
      <c r="S785" s="219">
        <f t="shared" si="74"/>
        <v>77.209251581933231</v>
      </c>
    </row>
    <row r="786" spans="2:19" x14ac:dyDescent="0.2">
      <c r="B786" s="78">
        <f t="shared" si="75"/>
        <v>213</v>
      </c>
      <c r="C786" s="3"/>
      <c r="D786" s="3"/>
      <c r="E786" s="3"/>
      <c r="F786" s="25" t="s">
        <v>131</v>
      </c>
      <c r="G786" s="3">
        <v>634</v>
      </c>
      <c r="H786" s="3" t="s">
        <v>144</v>
      </c>
      <c r="I786" s="18">
        <f>987+864-436</f>
        <v>1415</v>
      </c>
      <c r="J786" s="18">
        <v>1415</v>
      </c>
      <c r="K786" s="218">
        <f t="shared" si="72"/>
        <v>100</v>
      </c>
      <c r="L786" s="279"/>
      <c r="M786" s="285"/>
      <c r="N786" s="18"/>
      <c r="O786" s="218"/>
      <c r="P786" s="279"/>
      <c r="Q786" s="285">
        <f t="shared" si="71"/>
        <v>1415</v>
      </c>
      <c r="R786" s="18">
        <f t="shared" si="71"/>
        <v>1415</v>
      </c>
      <c r="S786" s="219">
        <f t="shared" si="74"/>
        <v>100</v>
      </c>
    </row>
    <row r="787" spans="2:19" x14ac:dyDescent="0.2">
      <c r="B787" s="78">
        <f t="shared" si="75"/>
        <v>214</v>
      </c>
      <c r="C787" s="3"/>
      <c r="D787" s="3"/>
      <c r="E787" s="3"/>
      <c r="F787" s="25" t="s">
        <v>131</v>
      </c>
      <c r="G787" s="3">
        <v>635</v>
      </c>
      <c r="H787" s="3" t="s">
        <v>145</v>
      </c>
      <c r="I787" s="18">
        <f>6231-2000</f>
        <v>4231</v>
      </c>
      <c r="J787" s="18">
        <v>1834</v>
      </c>
      <c r="K787" s="218">
        <f t="shared" si="72"/>
        <v>43.346726542188605</v>
      </c>
      <c r="L787" s="279"/>
      <c r="M787" s="285"/>
      <c r="N787" s="18"/>
      <c r="O787" s="218"/>
      <c r="P787" s="279"/>
      <c r="Q787" s="285">
        <f t="shared" si="71"/>
        <v>4231</v>
      </c>
      <c r="R787" s="18">
        <f t="shared" si="71"/>
        <v>1834</v>
      </c>
      <c r="S787" s="219">
        <f t="shared" si="74"/>
        <v>43.346726542188605</v>
      </c>
    </row>
    <row r="788" spans="2:19" x14ac:dyDescent="0.2">
      <c r="B788" s="78">
        <f t="shared" si="75"/>
        <v>215</v>
      </c>
      <c r="C788" s="3"/>
      <c r="D788" s="3"/>
      <c r="E788" s="3"/>
      <c r="F788" s="25" t="s">
        <v>131</v>
      </c>
      <c r="G788" s="3">
        <v>637</v>
      </c>
      <c r="H788" s="3" t="s">
        <v>134</v>
      </c>
      <c r="I788" s="18">
        <f>15425+396</f>
        <v>15821</v>
      </c>
      <c r="J788" s="18">
        <v>12320</v>
      </c>
      <c r="K788" s="218">
        <f t="shared" si="72"/>
        <v>77.871183869540488</v>
      </c>
      <c r="L788" s="279"/>
      <c r="M788" s="285"/>
      <c r="N788" s="18"/>
      <c r="O788" s="218"/>
      <c r="P788" s="279"/>
      <c r="Q788" s="285">
        <f t="shared" si="71"/>
        <v>15821</v>
      </c>
      <c r="R788" s="18">
        <f t="shared" si="71"/>
        <v>12320</v>
      </c>
      <c r="S788" s="219">
        <f t="shared" si="74"/>
        <v>77.871183869540488</v>
      </c>
    </row>
    <row r="789" spans="2:19" x14ac:dyDescent="0.2">
      <c r="B789" s="78">
        <f t="shared" si="75"/>
        <v>216</v>
      </c>
      <c r="C789" s="7"/>
      <c r="D789" s="7"/>
      <c r="E789" s="7"/>
      <c r="F789" s="24" t="s">
        <v>131</v>
      </c>
      <c r="G789" s="7">
        <v>640</v>
      </c>
      <c r="H789" s="7" t="s">
        <v>141</v>
      </c>
      <c r="I789" s="22">
        <f>473+221</f>
        <v>694</v>
      </c>
      <c r="J789" s="22">
        <v>694</v>
      </c>
      <c r="K789" s="218">
        <f t="shared" si="72"/>
        <v>100</v>
      </c>
      <c r="L789" s="278"/>
      <c r="M789" s="284"/>
      <c r="N789" s="22"/>
      <c r="O789" s="218"/>
      <c r="P789" s="278"/>
      <c r="Q789" s="284">
        <f t="shared" si="71"/>
        <v>694</v>
      </c>
      <c r="R789" s="22">
        <f t="shared" si="71"/>
        <v>694</v>
      </c>
      <c r="S789" s="219">
        <f t="shared" si="74"/>
        <v>100</v>
      </c>
    </row>
    <row r="790" spans="2:19" x14ac:dyDescent="0.2">
      <c r="B790" s="78">
        <f t="shared" si="75"/>
        <v>217</v>
      </c>
      <c r="C790" s="7"/>
      <c r="D790" s="7"/>
      <c r="E790" s="7"/>
      <c r="F790" s="24" t="s">
        <v>118</v>
      </c>
      <c r="G790" s="7">
        <v>610</v>
      </c>
      <c r="H790" s="7" t="s">
        <v>143</v>
      </c>
      <c r="I790" s="22">
        <f>273177+15607+50+15607+2693</f>
        <v>307134</v>
      </c>
      <c r="J790" s="22">
        <v>307135</v>
      </c>
      <c r="K790" s="218">
        <f t="shared" si="72"/>
        <v>100.00032559078448</v>
      </c>
      <c r="L790" s="278"/>
      <c r="M790" s="284"/>
      <c r="N790" s="22"/>
      <c r="O790" s="218"/>
      <c r="P790" s="278"/>
      <c r="Q790" s="284">
        <f t="shared" si="71"/>
        <v>307134</v>
      </c>
      <c r="R790" s="22">
        <f t="shared" si="71"/>
        <v>307135</v>
      </c>
      <c r="S790" s="219">
        <f t="shared" si="74"/>
        <v>100.00032559078448</v>
      </c>
    </row>
    <row r="791" spans="2:19" x14ac:dyDescent="0.2">
      <c r="B791" s="78">
        <f t="shared" si="75"/>
        <v>218</v>
      </c>
      <c r="C791" s="7"/>
      <c r="D791" s="7"/>
      <c r="E791" s="7"/>
      <c r="F791" s="24" t="s">
        <v>118</v>
      </c>
      <c r="G791" s="7">
        <v>620</v>
      </c>
      <c r="H791" s="7" t="s">
        <v>136</v>
      </c>
      <c r="I791" s="22">
        <f>89913+5465+10+5464+2884</f>
        <v>103736</v>
      </c>
      <c r="J791" s="22">
        <v>103736</v>
      </c>
      <c r="K791" s="218">
        <f t="shared" si="72"/>
        <v>100</v>
      </c>
      <c r="L791" s="278"/>
      <c r="M791" s="284"/>
      <c r="N791" s="22"/>
      <c r="O791" s="218"/>
      <c r="P791" s="278"/>
      <c r="Q791" s="284">
        <f t="shared" si="71"/>
        <v>103736</v>
      </c>
      <c r="R791" s="22">
        <f t="shared" si="71"/>
        <v>103736</v>
      </c>
      <c r="S791" s="219">
        <f t="shared" si="74"/>
        <v>100</v>
      </c>
    </row>
    <row r="792" spans="2:19" x14ac:dyDescent="0.2">
      <c r="B792" s="78">
        <f t="shared" si="75"/>
        <v>219</v>
      </c>
      <c r="C792" s="7"/>
      <c r="D792" s="7"/>
      <c r="E792" s="7"/>
      <c r="F792" s="24" t="s">
        <v>118</v>
      </c>
      <c r="G792" s="7">
        <v>630</v>
      </c>
      <c r="H792" s="7" t="s">
        <v>133</v>
      </c>
      <c r="I792" s="22">
        <f>SUM(I793:I798)</f>
        <v>61649</v>
      </c>
      <c r="J792" s="22">
        <f>SUM(J793:J798)</f>
        <v>51321</v>
      </c>
      <c r="K792" s="218">
        <f t="shared" si="72"/>
        <v>83.247092410258077</v>
      </c>
      <c r="L792" s="278"/>
      <c r="M792" s="284"/>
      <c r="N792" s="22"/>
      <c r="O792" s="218"/>
      <c r="P792" s="278"/>
      <c r="Q792" s="284">
        <f t="shared" si="71"/>
        <v>61649</v>
      </c>
      <c r="R792" s="22">
        <f t="shared" si="71"/>
        <v>51321</v>
      </c>
      <c r="S792" s="219">
        <f t="shared" si="74"/>
        <v>83.247092410258077</v>
      </c>
    </row>
    <row r="793" spans="2:19" x14ac:dyDescent="0.2">
      <c r="B793" s="78">
        <f t="shared" si="75"/>
        <v>220</v>
      </c>
      <c r="C793" s="3"/>
      <c r="D793" s="3"/>
      <c r="E793" s="3"/>
      <c r="F793" s="25" t="s">
        <v>118</v>
      </c>
      <c r="G793" s="3">
        <v>631</v>
      </c>
      <c r="H793" s="3" t="s">
        <v>139</v>
      </c>
      <c r="I793" s="18">
        <f>205-195</f>
        <v>10</v>
      </c>
      <c r="J793" s="18">
        <v>9</v>
      </c>
      <c r="K793" s="218">
        <f t="shared" si="72"/>
        <v>90</v>
      </c>
      <c r="L793" s="279"/>
      <c r="M793" s="285"/>
      <c r="N793" s="18"/>
      <c r="O793" s="218"/>
      <c r="P793" s="279"/>
      <c r="Q793" s="285">
        <f t="shared" si="71"/>
        <v>10</v>
      </c>
      <c r="R793" s="18">
        <f t="shared" si="71"/>
        <v>9</v>
      </c>
      <c r="S793" s="219">
        <f t="shared" si="74"/>
        <v>90</v>
      </c>
    </row>
    <row r="794" spans="2:19" x14ac:dyDescent="0.2">
      <c r="B794" s="78">
        <f t="shared" si="75"/>
        <v>221</v>
      </c>
      <c r="C794" s="3"/>
      <c r="D794" s="3"/>
      <c r="E794" s="3"/>
      <c r="F794" s="25" t="s">
        <v>118</v>
      </c>
      <c r="G794" s="3">
        <v>632</v>
      </c>
      <c r="H794" s="3" t="s">
        <v>146</v>
      </c>
      <c r="I794" s="18">
        <f>29625-4265-1851</f>
        <v>23509</v>
      </c>
      <c r="J794" s="18">
        <v>17790</v>
      </c>
      <c r="K794" s="218">
        <f t="shared" si="72"/>
        <v>75.673146454549325</v>
      </c>
      <c r="L794" s="279"/>
      <c r="M794" s="285"/>
      <c r="N794" s="18"/>
      <c r="O794" s="218"/>
      <c r="P794" s="279"/>
      <c r="Q794" s="285">
        <f t="shared" si="71"/>
        <v>23509</v>
      </c>
      <c r="R794" s="18">
        <f t="shared" si="71"/>
        <v>17790</v>
      </c>
      <c r="S794" s="219">
        <f t="shared" si="74"/>
        <v>75.673146454549325</v>
      </c>
    </row>
    <row r="795" spans="2:19" x14ac:dyDescent="0.2">
      <c r="B795" s="78">
        <f t="shared" si="75"/>
        <v>222</v>
      </c>
      <c r="C795" s="3"/>
      <c r="D795" s="3"/>
      <c r="E795" s="3"/>
      <c r="F795" s="25" t="s">
        <v>118</v>
      </c>
      <c r="G795" s="3">
        <v>633</v>
      </c>
      <c r="H795" s="3" t="s">
        <v>137</v>
      </c>
      <c r="I795" s="18">
        <f>8441+7792+200-1270</f>
        <v>15163</v>
      </c>
      <c r="J795" s="18">
        <v>13682</v>
      </c>
      <c r="K795" s="218">
        <f t="shared" si="72"/>
        <v>90.232803534920521</v>
      </c>
      <c r="L795" s="279"/>
      <c r="M795" s="285"/>
      <c r="N795" s="18"/>
      <c r="O795" s="218"/>
      <c r="P795" s="279"/>
      <c r="Q795" s="285">
        <f t="shared" si="71"/>
        <v>15163</v>
      </c>
      <c r="R795" s="18">
        <f t="shared" si="71"/>
        <v>13682</v>
      </c>
      <c r="S795" s="219">
        <f t="shared" si="74"/>
        <v>90.232803534920521</v>
      </c>
    </row>
    <row r="796" spans="2:19" x14ac:dyDescent="0.2">
      <c r="B796" s="78">
        <f t="shared" si="75"/>
        <v>223</v>
      </c>
      <c r="C796" s="3"/>
      <c r="D796" s="3"/>
      <c r="E796" s="3"/>
      <c r="F796" s="25" t="s">
        <v>118</v>
      </c>
      <c r="G796" s="3">
        <v>634</v>
      </c>
      <c r="H796" s="3" t="s">
        <v>144</v>
      </c>
      <c r="I796" s="18">
        <f>2337-312</f>
        <v>2025</v>
      </c>
      <c r="J796" s="18">
        <v>2026</v>
      </c>
      <c r="K796" s="218">
        <f t="shared" si="72"/>
        <v>100.04938271604938</v>
      </c>
      <c r="L796" s="279"/>
      <c r="M796" s="285"/>
      <c r="N796" s="18"/>
      <c r="O796" s="218"/>
      <c r="P796" s="279"/>
      <c r="Q796" s="285">
        <f t="shared" si="71"/>
        <v>2025</v>
      </c>
      <c r="R796" s="18">
        <f t="shared" si="71"/>
        <v>2026</v>
      </c>
      <c r="S796" s="219">
        <f t="shared" si="74"/>
        <v>100.04938271604938</v>
      </c>
    </row>
    <row r="797" spans="2:19" x14ac:dyDescent="0.2">
      <c r="B797" s="78">
        <f t="shared" si="75"/>
        <v>224</v>
      </c>
      <c r="C797" s="3"/>
      <c r="D797" s="3"/>
      <c r="E797" s="3"/>
      <c r="F797" s="25" t="s">
        <v>118</v>
      </c>
      <c r="G797" s="3">
        <v>635</v>
      </c>
      <c r="H797" s="3" t="s">
        <v>145</v>
      </c>
      <c r="I797" s="18">
        <f>4214+1000+377</f>
        <v>5591</v>
      </c>
      <c r="J797" s="18">
        <v>3877</v>
      </c>
      <c r="K797" s="218">
        <f t="shared" si="72"/>
        <v>69.343587909139686</v>
      </c>
      <c r="L797" s="279"/>
      <c r="M797" s="285"/>
      <c r="N797" s="18"/>
      <c r="O797" s="218"/>
      <c r="P797" s="279"/>
      <c r="Q797" s="285">
        <f t="shared" si="71"/>
        <v>5591</v>
      </c>
      <c r="R797" s="18">
        <f t="shared" si="71"/>
        <v>3877</v>
      </c>
      <c r="S797" s="219">
        <f t="shared" si="74"/>
        <v>69.343587909139686</v>
      </c>
    </row>
    <row r="798" spans="2:19" x14ac:dyDescent="0.2">
      <c r="B798" s="78">
        <f t="shared" si="75"/>
        <v>225</v>
      </c>
      <c r="C798" s="3"/>
      <c r="D798" s="3"/>
      <c r="E798" s="3"/>
      <c r="F798" s="25" t="s">
        <v>118</v>
      </c>
      <c r="G798" s="3">
        <v>637</v>
      </c>
      <c r="H798" s="3" t="s">
        <v>134</v>
      </c>
      <c r="I798" s="18">
        <f>12689+1328+1334</f>
        <v>15351</v>
      </c>
      <c r="J798" s="18">
        <v>13937</v>
      </c>
      <c r="K798" s="218">
        <f t="shared" si="72"/>
        <v>90.788873689010487</v>
      </c>
      <c r="L798" s="279"/>
      <c r="M798" s="285"/>
      <c r="N798" s="18"/>
      <c r="O798" s="218"/>
      <c r="P798" s="279"/>
      <c r="Q798" s="285">
        <f t="shared" si="71"/>
        <v>15351</v>
      </c>
      <c r="R798" s="18">
        <f t="shared" si="71"/>
        <v>13937</v>
      </c>
      <c r="S798" s="219">
        <f t="shared" si="74"/>
        <v>90.788873689010487</v>
      </c>
    </row>
    <row r="799" spans="2:19" x14ac:dyDescent="0.2">
      <c r="B799" s="78">
        <f t="shared" si="75"/>
        <v>226</v>
      </c>
      <c r="C799" s="7"/>
      <c r="D799" s="7"/>
      <c r="E799" s="7"/>
      <c r="F799" s="24" t="s">
        <v>118</v>
      </c>
      <c r="G799" s="7">
        <v>640</v>
      </c>
      <c r="H799" s="7" t="s">
        <v>141</v>
      </c>
      <c r="I799" s="22">
        <f>578+2023</f>
        <v>2601</v>
      </c>
      <c r="J799" s="22">
        <v>2601</v>
      </c>
      <c r="K799" s="218">
        <f t="shared" si="72"/>
        <v>100</v>
      </c>
      <c r="L799" s="278"/>
      <c r="M799" s="284"/>
      <c r="N799" s="22"/>
      <c r="O799" s="218"/>
      <c r="P799" s="278"/>
      <c r="Q799" s="284">
        <f t="shared" si="71"/>
        <v>2601</v>
      </c>
      <c r="R799" s="22">
        <f t="shared" si="71"/>
        <v>2601</v>
      </c>
      <c r="S799" s="219">
        <f t="shared" si="74"/>
        <v>100</v>
      </c>
    </row>
    <row r="800" spans="2:19" x14ac:dyDescent="0.2">
      <c r="B800" s="78">
        <f t="shared" si="75"/>
        <v>227</v>
      </c>
      <c r="C800" s="7"/>
      <c r="D800" s="7"/>
      <c r="E800" s="7"/>
      <c r="F800" s="24"/>
      <c r="G800" s="7">
        <v>630</v>
      </c>
      <c r="H800" s="7" t="s">
        <v>574</v>
      </c>
      <c r="I800" s="22">
        <v>17277</v>
      </c>
      <c r="J800" s="22">
        <v>17277</v>
      </c>
      <c r="K800" s="218">
        <f t="shared" si="72"/>
        <v>100</v>
      </c>
      <c r="L800" s="278"/>
      <c r="M800" s="284"/>
      <c r="N800" s="22"/>
      <c r="O800" s="218"/>
      <c r="P800" s="278"/>
      <c r="Q800" s="284">
        <f t="shared" si="71"/>
        <v>17277</v>
      </c>
      <c r="R800" s="22">
        <f t="shared" si="71"/>
        <v>17277</v>
      </c>
      <c r="S800" s="219">
        <f t="shared" si="74"/>
        <v>100</v>
      </c>
    </row>
    <row r="801" spans="2:19" x14ac:dyDescent="0.2">
      <c r="B801" s="78">
        <f t="shared" si="75"/>
        <v>228</v>
      </c>
      <c r="C801" s="7"/>
      <c r="D801" s="7"/>
      <c r="E801" s="7"/>
      <c r="F801" s="24" t="s">
        <v>83</v>
      </c>
      <c r="G801" s="7">
        <v>630</v>
      </c>
      <c r="H801" s="7" t="s">
        <v>647</v>
      </c>
      <c r="I801" s="22">
        <v>220</v>
      </c>
      <c r="J801" s="22">
        <v>220</v>
      </c>
      <c r="K801" s="218">
        <f t="shared" si="72"/>
        <v>100</v>
      </c>
      <c r="L801" s="278"/>
      <c r="M801" s="284"/>
      <c r="N801" s="22"/>
      <c r="O801" s="218"/>
      <c r="P801" s="278"/>
      <c r="Q801" s="284">
        <f t="shared" si="71"/>
        <v>220</v>
      </c>
      <c r="R801" s="22">
        <f t="shared" si="71"/>
        <v>220</v>
      </c>
      <c r="S801" s="219">
        <f t="shared" si="74"/>
        <v>100</v>
      </c>
    </row>
    <row r="802" spans="2:19" ht="15" x14ac:dyDescent="0.25">
      <c r="B802" s="78">
        <f t="shared" si="75"/>
        <v>229</v>
      </c>
      <c r="C802" s="10"/>
      <c r="D802" s="10"/>
      <c r="E802" s="10">
        <v>7</v>
      </c>
      <c r="F802" s="27"/>
      <c r="G802" s="10"/>
      <c r="H802" s="10" t="s">
        <v>13</v>
      </c>
      <c r="I802" s="37">
        <f>I803+I804+I805+I812+I813+I814+I815+I821+I822+I823</f>
        <v>1159774</v>
      </c>
      <c r="J802" s="37">
        <f>J803+J804+J805+J812+J813+J814+J815+J821+J822+J823</f>
        <v>1157474</v>
      </c>
      <c r="K802" s="218">
        <f t="shared" si="72"/>
        <v>99.801685500795841</v>
      </c>
      <c r="L802" s="295"/>
      <c r="M802" s="299">
        <f>M824</f>
        <v>38729</v>
      </c>
      <c r="N802" s="37">
        <f>N824</f>
        <v>37445</v>
      </c>
      <c r="O802" s="218">
        <f t="shared" si="73"/>
        <v>96.684654909757555</v>
      </c>
      <c r="P802" s="295"/>
      <c r="Q802" s="299">
        <f t="shared" si="71"/>
        <v>1198503</v>
      </c>
      <c r="R802" s="37">
        <f t="shared" si="71"/>
        <v>1194919</v>
      </c>
      <c r="S802" s="219">
        <f t="shared" si="74"/>
        <v>99.700960281284239</v>
      </c>
    </row>
    <row r="803" spans="2:19" x14ac:dyDescent="0.2">
      <c r="B803" s="78">
        <f t="shared" si="75"/>
        <v>230</v>
      </c>
      <c r="C803" s="7"/>
      <c r="D803" s="7"/>
      <c r="E803" s="7"/>
      <c r="F803" s="24" t="s">
        <v>131</v>
      </c>
      <c r="G803" s="7">
        <v>610</v>
      </c>
      <c r="H803" s="7" t="s">
        <v>143</v>
      </c>
      <c r="I803" s="22">
        <f>284709+8415-12472-8415+1950+400+10658</f>
        <v>285245</v>
      </c>
      <c r="J803" s="22">
        <v>285085</v>
      </c>
      <c r="K803" s="218">
        <f t="shared" si="72"/>
        <v>99.943907868674302</v>
      </c>
      <c r="L803" s="278"/>
      <c r="M803" s="284"/>
      <c r="N803" s="22"/>
      <c r="O803" s="218"/>
      <c r="P803" s="278"/>
      <c r="Q803" s="284">
        <f t="shared" si="71"/>
        <v>285245</v>
      </c>
      <c r="R803" s="22">
        <f t="shared" si="71"/>
        <v>285085</v>
      </c>
      <c r="S803" s="219">
        <f t="shared" si="74"/>
        <v>99.943907868674302</v>
      </c>
    </row>
    <row r="804" spans="2:19" x14ac:dyDescent="0.2">
      <c r="B804" s="78">
        <f t="shared" si="75"/>
        <v>231</v>
      </c>
      <c r="C804" s="7"/>
      <c r="D804" s="7"/>
      <c r="E804" s="7"/>
      <c r="F804" s="24" t="s">
        <v>131</v>
      </c>
      <c r="G804" s="7">
        <v>620</v>
      </c>
      <c r="H804" s="7" t="s">
        <v>136</v>
      </c>
      <c r="I804" s="22">
        <f>100216+2962-4391-2962+700+1658</f>
        <v>98183</v>
      </c>
      <c r="J804" s="22">
        <v>98104</v>
      </c>
      <c r="K804" s="218">
        <f t="shared" si="72"/>
        <v>99.919538005561051</v>
      </c>
      <c r="L804" s="278"/>
      <c r="M804" s="284"/>
      <c r="N804" s="22"/>
      <c r="O804" s="218"/>
      <c r="P804" s="278"/>
      <c r="Q804" s="284">
        <f t="shared" si="71"/>
        <v>98183</v>
      </c>
      <c r="R804" s="22">
        <f t="shared" si="71"/>
        <v>98104</v>
      </c>
      <c r="S804" s="219">
        <f t="shared" si="74"/>
        <v>99.919538005561051</v>
      </c>
    </row>
    <row r="805" spans="2:19" x14ac:dyDescent="0.2">
      <c r="B805" s="78">
        <f t="shared" si="75"/>
        <v>232</v>
      </c>
      <c r="C805" s="7"/>
      <c r="D805" s="7"/>
      <c r="E805" s="7"/>
      <c r="F805" s="24" t="s">
        <v>131</v>
      </c>
      <c r="G805" s="7">
        <v>630</v>
      </c>
      <c r="H805" s="7" t="s">
        <v>133</v>
      </c>
      <c r="I805" s="22">
        <f>SUM(I806:I811)</f>
        <v>57513</v>
      </c>
      <c r="J805" s="22">
        <f>SUM(J806:J811)</f>
        <v>56163</v>
      </c>
      <c r="K805" s="218">
        <f t="shared" si="72"/>
        <v>97.65270460591519</v>
      </c>
      <c r="L805" s="278"/>
      <c r="M805" s="284"/>
      <c r="N805" s="22"/>
      <c r="O805" s="218"/>
      <c r="P805" s="278"/>
      <c r="Q805" s="284">
        <f t="shared" ref="Q805:R875" si="76">I805+M805</f>
        <v>57513</v>
      </c>
      <c r="R805" s="22">
        <f t="shared" si="76"/>
        <v>56163</v>
      </c>
      <c r="S805" s="219">
        <f t="shared" si="74"/>
        <v>97.65270460591519</v>
      </c>
    </row>
    <row r="806" spans="2:19" x14ac:dyDescent="0.2">
      <c r="B806" s="78">
        <f t="shared" si="75"/>
        <v>233</v>
      </c>
      <c r="C806" s="3"/>
      <c r="D806" s="3"/>
      <c r="E806" s="3"/>
      <c r="F806" s="25" t="s">
        <v>131</v>
      </c>
      <c r="G806" s="3">
        <v>631</v>
      </c>
      <c r="H806" s="3" t="s">
        <v>139</v>
      </c>
      <c r="I806" s="18">
        <f>113+15</f>
        <v>128</v>
      </c>
      <c r="J806" s="18">
        <v>128</v>
      </c>
      <c r="K806" s="218">
        <f t="shared" si="72"/>
        <v>100</v>
      </c>
      <c r="L806" s="279"/>
      <c r="M806" s="285"/>
      <c r="N806" s="18"/>
      <c r="O806" s="218"/>
      <c r="P806" s="279"/>
      <c r="Q806" s="285">
        <f t="shared" si="76"/>
        <v>128</v>
      </c>
      <c r="R806" s="18">
        <f t="shared" si="76"/>
        <v>128</v>
      </c>
      <c r="S806" s="219">
        <f t="shared" si="74"/>
        <v>100</v>
      </c>
    </row>
    <row r="807" spans="2:19" x14ac:dyDescent="0.2">
      <c r="B807" s="78">
        <f t="shared" si="75"/>
        <v>234</v>
      </c>
      <c r="C807" s="3"/>
      <c r="D807" s="3"/>
      <c r="E807" s="3"/>
      <c r="F807" s="25" t="s">
        <v>131</v>
      </c>
      <c r="G807" s="3">
        <v>632</v>
      </c>
      <c r="H807" s="3" t="s">
        <v>146</v>
      </c>
      <c r="I807" s="18">
        <f>16863+1000</f>
        <v>17863</v>
      </c>
      <c r="J807" s="18">
        <v>16523</v>
      </c>
      <c r="K807" s="218">
        <f t="shared" si="72"/>
        <v>92.498460504954366</v>
      </c>
      <c r="L807" s="279"/>
      <c r="M807" s="285"/>
      <c r="N807" s="18"/>
      <c r="O807" s="218"/>
      <c r="P807" s="279"/>
      <c r="Q807" s="285">
        <f t="shared" si="76"/>
        <v>17863</v>
      </c>
      <c r="R807" s="18">
        <f t="shared" si="76"/>
        <v>16523</v>
      </c>
      <c r="S807" s="219">
        <f t="shared" si="74"/>
        <v>92.498460504954366</v>
      </c>
    </row>
    <row r="808" spans="2:19" x14ac:dyDescent="0.2">
      <c r="B808" s="78">
        <f t="shared" si="75"/>
        <v>235</v>
      </c>
      <c r="C808" s="3"/>
      <c r="D808" s="3"/>
      <c r="E808" s="3"/>
      <c r="F808" s="25" t="s">
        <v>131</v>
      </c>
      <c r="G808" s="3">
        <v>633</v>
      </c>
      <c r="H808" s="3" t="s">
        <v>137</v>
      </c>
      <c r="I808" s="18">
        <f>19794-10000+215</f>
        <v>10009</v>
      </c>
      <c r="J808" s="18">
        <v>10009</v>
      </c>
      <c r="K808" s="218">
        <f t="shared" si="72"/>
        <v>100</v>
      </c>
      <c r="L808" s="279"/>
      <c r="M808" s="285"/>
      <c r="N808" s="18"/>
      <c r="O808" s="218"/>
      <c r="P808" s="279"/>
      <c r="Q808" s="285">
        <f t="shared" si="76"/>
        <v>10009</v>
      </c>
      <c r="R808" s="18">
        <f t="shared" si="76"/>
        <v>10009</v>
      </c>
      <c r="S808" s="219">
        <f t="shared" si="74"/>
        <v>100</v>
      </c>
    </row>
    <row r="809" spans="2:19" x14ac:dyDescent="0.2">
      <c r="B809" s="78">
        <f t="shared" si="75"/>
        <v>236</v>
      </c>
      <c r="C809" s="3"/>
      <c r="D809" s="3"/>
      <c r="E809" s="3"/>
      <c r="F809" s="25" t="s">
        <v>131</v>
      </c>
      <c r="G809" s="3">
        <v>634</v>
      </c>
      <c r="H809" s="3" t="s">
        <v>144</v>
      </c>
      <c r="I809" s="18">
        <v>1215</v>
      </c>
      <c r="J809" s="18">
        <v>1206</v>
      </c>
      <c r="K809" s="218">
        <f t="shared" si="72"/>
        <v>99.259259259259252</v>
      </c>
      <c r="L809" s="279"/>
      <c r="M809" s="285"/>
      <c r="N809" s="18"/>
      <c r="O809" s="218"/>
      <c r="P809" s="279"/>
      <c r="Q809" s="285">
        <f t="shared" si="76"/>
        <v>1215</v>
      </c>
      <c r="R809" s="18">
        <f t="shared" si="76"/>
        <v>1206</v>
      </c>
      <c r="S809" s="219">
        <f t="shared" si="74"/>
        <v>99.259259259259252</v>
      </c>
    </row>
    <row r="810" spans="2:19" x14ac:dyDescent="0.2">
      <c r="B810" s="78">
        <f t="shared" si="75"/>
        <v>237</v>
      </c>
      <c r="C810" s="3"/>
      <c r="D810" s="3"/>
      <c r="E810" s="3"/>
      <c r="F810" s="25" t="s">
        <v>131</v>
      </c>
      <c r="G810" s="3">
        <v>635</v>
      </c>
      <c r="H810" s="3" t="s">
        <v>145</v>
      </c>
      <c r="I810" s="18">
        <f>10350+5000-4600</f>
        <v>10750</v>
      </c>
      <c r="J810" s="18">
        <v>10750</v>
      </c>
      <c r="K810" s="218">
        <f t="shared" si="72"/>
        <v>100</v>
      </c>
      <c r="L810" s="279"/>
      <c r="M810" s="285"/>
      <c r="N810" s="18"/>
      <c r="O810" s="218"/>
      <c r="P810" s="279"/>
      <c r="Q810" s="285">
        <f t="shared" si="76"/>
        <v>10750</v>
      </c>
      <c r="R810" s="18">
        <f t="shared" si="76"/>
        <v>10750</v>
      </c>
      <c r="S810" s="219">
        <f t="shared" si="74"/>
        <v>100</v>
      </c>
    </row>
    <row r="811" spans="2:19" x14ac:dyDescent="0.2">
      <c r="B811" s="78">
        <f t="shared" si="75"/>
        <v>238</v>
      </c>
      <c r="C811" s="3"/>
      <c r="D811" s="3"/>
      <c r="E811" s="3"/>
      <c r="F811" s="25" t="s">
        <v>131</v>
      </c>
      <c r="G811" s="3">
        <v>637</v>
      </c>
      <c r="H811" s="3" t="s">
        <v>134</v>
      </c>
      <c r="I811" s="18">
        <f>25950-10267+1865</f>
        <v>17548</v>
      </c>
      <c r="J811" s="18">
        <v>17547</v>
      </c>
      <c r="K811" s="218">
        <f t="shared" si="72"/>
        <v>99.994301344882615</v>
      </c>
      <c r="L811" s="279"/>
      <c r="M811" s="285"/>
      <c r="N811" s="18"/>
      <c r="O811" s="218"/>
      <c r="P811" s="279"/>
      <c r="Q811" s="285">
        <f t="shared" si="76"/>
        <v>17548</v>
      </c>
      <c r="R811" s="18">
        <f t="shared" si="76"/>
        <v>17547</v>
      </c>
      <c r="S811" s="219">
        <f t="shared" si="74"/>
        <v>99.994301344882615</v>
      </c>
    </row>
    <row r="812" spans="2:19" x14ac:dyDescent="0.2">
      <c r="B812" s="78">
        <f t="shared" si="75"/>
        <v>239</v>
      </c>
      <c r="C812" s="7"/>
      <c r="D812" s="7"/>
      <c r="E812" s="7"/>
      <c r="F812" s="24" t="s">
        <v>131</v>
      </c>
      <c r="G812" s="7">
        <v>640</v>
      </c>
      <c r="H812" s="7" t="s">
        <v>141</v>
      </c>
      <c r="I812" s="22">
        <f>1351+1826</f>
        <v>3177</v>
      </c>
      <c r="J812" s="22">
        <v>3181</v>
      </c>
      <c r="K812" s="218">
        <f t="shared" si="72"/>
        <v>100.12590494176897</v>
      </c>
      <c r="L812" s="278"/>
      <c r="M812" s="284"/>
      <c r="N812" s="22"/>
      <c r="O812" s="218"/>
      <c r="P812" s="278"/>
      <c r="Q812" s="284">
        <f t="shared" si="76"/>
        <v>3177</v>
      </c>
      <c r="R812" s="22">
        <f t="shared" si="76"/>
        <v>3181</v>
      </c>
      <c r="S812" s="219">
        <f t="shared" si="74"/>
        <v>100.12590494176897</v>
      </c>
    </row>
    <row r="813" spans="2:19" x14ac:dyDescent="0.2">
      <c r="B813" s="78">
        <f t="shared" si="75"/>
        <v>240</v>
      </c>
      <c r="C813" s="7"/>
      <c r="D813" s="7"/>
      <c r="E813" s="7"/>
      <c r="F813" s="24" t="s">
        <v>118</v>
      </c>
      <c r="G813" s="7">
        <v>610</v>
      </c>
      <c r="H813" s="7" t="s">
        <v>143</v>
      </c>
      <c r="I813" s="22">
        <f>443722+8414+50+8415-11074</f>
        <v>449527</v>
      </c>
      <c r="J813" s="22">
        <v>449528</v>
      </c>
      <c r="K813" s="218">
        <f t="shared" si="72"/>
        <v>100.00022245604825</v>
      </c>
      <c r="L813" s="278"/>
      <c r="M813" s="284"/>
      <c r="N813" s="22"/>
      <c r="O813" s="218"/>
      <c r="P813" s="278"/>
      <c r="Q813" s="284">
        <f t="shared" si="76"/>
        <v>449527</v>
      </c>
      <c r="R813" s="22">
        <f t="shared" si="76"/>
        <v>449528</v>
      </c>
      <c r="S813" s="219">
        <f t="shared" si="74"/>
        <v>100.00022245604825</v>
      </c>
    </row>
    <row r="814" spans="2:19" x14ac:dyDescent="0.2">
      <c r="B814" s="78">
        <f t="shared" si="75"/>
        <v>241</v>
      </c>
      <c r="C814" s="7"/>
      <c r="D814" s="7"/>
      <c r="E814" s="7"/>
      <c r="F814" s="24" t="s">
        <v>118</v>
      </c>
      <c r="G814" s="7">
        <v>620</v>
      </c>
      <c r="H814" s="7" t="s">
        <v>136</v>
      </c>
      <c r="I814" s="22">
        <f>156192+2962+10+2962-3814</f>
        <v>158312</v>
      </c>
      <c r="J814" s="22">
        <v>158309</v>
      </c>
      <c r="K814" s="218">
        <f t="shared" si="72"/>
        <v>99.998105007832635</v>
      </c>
      <c r="L814" s="278"/>
      <c r="M814" s="284"/>
      <c r="N814" s="22"/>
      <c r="O814" s="218"/>
      <c r="P814" s="278"/>
      <c r="Q814" s="284">
        <f t="shared" si="76"/>
        <v>158312</v>
      </c>
      <c r="R814" s="22">
        <f t="shared" si="76"/>
        <v>158309</v>
      </c>
      <c r="S814" s="219">
        <f t="shared" si="74"/>
        <v>99.998105007832635</v>
      </c>
    </row>
    <row r="815" spans="2:19" x14ac:dyDescent="0.2">
      <c r="B815" s="78">
        <f t="shared" si="75"/>
        <v>242</v>
      </c>
      <c r="C815" s="7"/>
      <c r="D815" s="7"/>
      <c r="E815" s="7"/>
      <c r="F815" s="24" t="s">
        <v>118</v>
      </c>
      <c r="G815" s="7">
        <v>630</v>
      </c>
      <c r="H815" s="7" t="s">
        <v>133</v>
      </c>
      <c r="I815" s="22">
        <f>SUM(I816:I820)</f>
        <v>104961</v>
      </c>
      <c r="J815" s="22">
        <f>SUM(J816:J820)</f>
        <v>104324</v>
      </c>
      <c r="K815" s="218">
        <f t="shared" si="72"/>
        <v>99.393107916273664</v>
      </c>
      <c r="L815" s="278"/>
      <c r="M815" s="284"/>
      <c r="N815" s="22"/>
      <c r="O815" s="218"/>
      <c r="P815" s="278"/>
      <c r="Q815" s="284">
        <f t="shared" si="76"/>
        <v>104961</v>
      </c>
      <c r="R815" s="22">
        <f t="shared" si="76"/>
        <v>104324</v>
      </c>
      <c r="S815" s="219">
        <f t="shared" si="74"/>
        <v>99.393107916273664</v>
      </c>
    </row>
    <row r="816" spans="2:19" x14ac:dyDescent="0.2">
      <c r="B816" s="78">
        <f t="shared" si="75"/>
        <v>243</v>
      </c>
      <c r="C816" s="3"/>
      <c r="D816" s="3"/>
      <c r="E816" s="3"/>
      <c r="F816" s="25" t="s">
        <v>118</v>
      </c>
      <c r="G816" s="3">
        <v>631</v>
      </c>
      <c r="H816" s="3" t="s">
        <v>139</v>
      </c>
      <c r="I816" s="18">
        <f>137+20</f>
        <v>157</v>
      </c>
      <c r="J816" s="18">
        <v>157</v>
      </c>
      <c r="K816" s="218">
        <f t="shared" si="72"/>
        <v>100</v>
      </c>
      <c r="L816" s="279"/>
      <c r="M816" s="285"/>
      <c r="N816" s="18"/>
      <c r="O816" s="218"/>
      <c r="P816" s="279"/>
      <c r="Q816" s="285">
        <f t="shared" si="76"/>
        <v>157</v>
      </c>
      <c r="R816" s="18">
        <f t="shared" si="76"/>
        <v>157</v>
      </c>
      <c r="S816" s="219">
        <f t="shared" si="74"/>
        <v>100</v>
      </c>
    </row>
    <row r="817" spans="2:19" x14ac:dyDescent="0.2">
      <c r="B817" s="78">
        <f t="shared" si="75"/>
        <v>244</v>
      </c>
      <c r="C817" s="3"/>
      <c r="D817" s="3"/>
      <c r="E817" s="3"/>
      <c r="F817" s="25" t="s">
        <v>118</v>
      </c>
      <c r="G817" s="3">
        <v>632</v>
      </c>
      <c r="H817" s="3" t="s">
        <v>146</v>
      </c>
      <c r="I817" s="18">
        <f>22415+4106</f>
        <v>26521</v>
      </c>
      <c r="J817" s="18">
        <v>25884</v>
      </c>
      <c r="K817" s="218">
        <f t="shared" si="72"/>
        <v>97.598129783944799</v>
      </c>
      <c r="L817" s="279"/>
      <c r="M817" s="285"/>
      <c r="N817" s="18"/>
      <c r="O817" s="218"/>
      <c r="P817" s="279"/>
      <c r="Q817" s="285">
        <f t="shared" si="76"/>
        <v>26521</v>
      </c>
      <c r="R817" s="18">
        <f t="shared" si="76"/>
        <v>25884</v>
      </c>
      <c r="S817" s="219">
        <f t="shared" si="74"/>
        <v>97.598129783944799</v>
      </c>
    </row>
    <row r="818" spans="2:19" x14ac:dyDescent="0.2">
      <c r="B818" s="78">
        <f t="shared" si="75"/>
        <v>245</v>
      </c>
      <c r="C818" s="3"/>
      <c r="D818" s="3"/>
      <c r="E818" s="3"/>
      <c r="F818" s="25" t="s">
        <v>118</v>
      </c>
      <c r="G818" s="3">
        <v>633</v>
      </c>
      <c r="H818" s="3" t="s">
        <v>137</v>
      </c>
      <c r="I818" s="18">
        <f>36552-10000+1551</f>
        <v>28103</v>
      </c>
      <c r="J818" s="18">
        <v>28103</v>
      </c>
      <c r="K818" s="218">
        <f t="shared" si="72"/>
        <v>100</v>
      </c>
      <c r="L818" s="279"/>
      <c r="M818" s="285"/>
      <c r="N818" s="18"/>
      <c r="O818" s="218"/>
      <c r="P818" s="279"/>
      <c r="Q818" s="285">
        <f t="shared" si="76"/>
        <v>28103</v>
      </c>
      <c r="R818" s="18">
        <f t="shared" si="76"/>
        <v>28103</v>
      </c>
      <c r="S818" s="219">
        <f t="shared" si="74"/>
        <v>100</v>
      </c>
    </row>
    <row r="819" spans="2:19" x14ac:dyDescent="0.2">
      <c r="B819" s="78">
        <f t="shared" si="75"/>
        <v>246</v>
      </c>
      <c r="C819" s="3"/>
      <c r="D819" s="3"/>
      <c r="E819" s="3"/>
      <c r="F819" s="25" t="s">
        <v>118</v>
      </c>
      <c r="G819" s="3">
        <v>635</v>
      </c>
      <c r="H819" s="3" t="s">
        <v>145</v>
      </c>
      <c r="I819" s="18">
        <f>13150+5000+7000</f>
        <v>25150</v>
      </c>
      <c r="J819" s="18">
        <v>25150</v>
      </c>
      <c r="K819" s="218">
        <f t="shared" si="72"/>
        <v>100</v>
      </c>
      <c r="L819" s="279"/>
      <c r="M819" s="285"/>
      <c r="N819" s="18"/>
      <c r="O819" s="218"/>
      <c r="P819" s="279"/>
      <c r="Q819" s="285">
        <f t="shared" si="76"/>
        <v>25150</v>
      </c>
      <c r="R819" s="18">
        <f t="shared" si="76"/>
        <v>25150</v>
      </c>
      <c r="S819" s="219">
        <f t="shared" si="74"/>
        <v>100</v>
      </c>
    </row>
    <row r="820" spans="2:19" x14ac:dyDescent="0.2">
      <c r="B820" s="78">
        <f t="shared" si="75"/>
        <v>247</v>
      </c>
      <c r="C820" s="3"/>
      <c r="D820" s="3"/>
      <c r="E820" s="3"/>
      <c r="F820" s="25" t="s">
        <v>118</v>
      </c>
      <c r="G820" s="3">
        <v>637</v>
      </c>
      <c r="H820" s="3" t="s">
        <v>134</v>
      </c>
      <c r="I820" s="18">
        <f>26080+2000-5000+1950</f>
        <v>25030</v>
      </c>
      <c r="J820" s="18">
        <v>25030</v>
      </c>
      <c r="K820" s="218">
        <f t="shared" si="72"/>
        <v>100</v>
      </c>
      <c r="L820" s="279"/>
      <c r="M820" s="285"/>
      <c r="N820" s="18"/>
      <c r="O820" s="218"/>
      <c r="P820" s="279"/>
      <c r="Q820" s="285">
        <f t="shared" si="76"/>
        <v>25030</v>
      </c>
      <c r="R820" s="18">
        <f t="shared" si="76"/>
        <v>25030</v>
      </c>
      <c r="S820" s="219">
        <f t="shared" si="74"/>
        <v>100</v>
      </c>
    </row>
    <row r="821" spans="2:19" x14ac:dyDescent="0.2">
      <c r="B821" s="78">
        <f t="shared" si="75"/>
        <v>248</v>
      </c>
      <c r="C821" s="7"/>
      <c r="D821" s="7"/>
      <c r="E821" s="7"/>
      <c r="F821" s="24" t="s">
        <v>118</v>
      </c>
      <c r="G821" s="7">
        <v>640</v>
      </c>
      <c r="H821" s="7" t="s">
        <v>141</v>
      </c>
      <c r="I821" s="22">
        <f>1649+162</f>
        <v>1811</v>
      </c>
      <c r="J821" s="22">
        <v>1659</v>
      </c>
      <c r="K821" s="218">
        <f t="shared" si="72"/>
        <v>91.606847045831032</v>
      </c>
      <c r="L821" s="278"/>
      <c r="M821" s="284"/>
      <c r="N821" s="22"/>
      <c r="O821" s="218"/>
      <c r="P821" s="278"/>
      <c r="Q821" s="284">
        <f t="shared" si="76"/>
        <v>1811</v>
      </c>
      <c r="R821" s="22">
        <f t="shared" si="76"/>
        <v>1659</v>
      </c>
      <c r="S821" s="219">
        <f t="shared" si="74"/>
        <v>91.606847045831032</v>
      </c>
    </row>
    <row r="822" spans="2:19" x14ac:dyDescent="0.2">
      <c r="B822" s="78">
        <f t="shared" si="75"/>
        <v>249</v>
      </c>
      <c r="C822" s="7"/>
      <c r="D822" s="7"/>
      <c r="E822" s="7"/>
      <c r="F822" s="24"/>
      <c r="G822" s="7">
        <v>630</v>
      </c>
      <c r="H822" s="7" t="s">
        <v>574</v>
      </c>
      <c r="I822" s="22">
        <v>1029</v>
      </c>
      <c r="J822" s="22">
        <v>1029</v>
      </c>
      <c r="K822" s="218">
        <f t="shared" si="72"/>
        <v>100</v>
      </c>
      <c r="L822" s="278"/>
      <c r="M822" s="284"/>
      <c r="N822" s="22"/>
      <c r="O822" s="218"/>
      <c r="P822" s="278"/>
      <c r="Q822" s="284">
        <f t="shared" si="76"/>
        <v>1029</v>
      </c>
      <c r="R822" s="22">
        <f t="shared" si="76"/>
        <v>1029</v>
      </c>
      <c r="S822" s="219">
        <f t="shared" si="74"/>
        <v>100</v>
      </c>
    </row>
    <row r="823" spans="2:19" x14ac:dyDescent="0.2">
      <c r="B823" s="78">
        <f t="shared" si="75"/>
        <v>250</v>
      </c>
      <c r="C823" s="7"/>
      <c r="D823" s="7"/>
      <c r="E823" s="7"/>
      <c r="F823" s="24" t="s">
        <v>83</v>
      </c>
      <c r="G823" s="7">
        <v>630</v>
      </c>
      <c r="H823" s="7" t="s">
        <v>647</v>
      </c>
      <c r="I823" s="22">
        <v>16</v>
      </c>
      <c r="J823" s="22">
        <v>92</v>
      </c>
      <c r="K823" s="218">
        <f t="shared" si="72"/>
        <v>575</v>
      </c>
      <c r="L823" s="278"/>
      <c r="M823" s="284"/>
      <c r="N823" s="22"/>
      <c r="O823" s="218"/>
      <c r="P823" s="278"/>
      <c r="Q823" s="284">
        <f t="shared" si="76"/>
        <v>16</v>
      </c>
      <c r="R823" s="22">
        <f t="shared" si="76"/>
        <v>92</v>
      </c>
      <c r="S823" s="219">
        <f t="shared" si="74"/>
        <v>575</v>
      </c>
    </row>
    <row r="824" spans="2:19" x14ac:dyDescent="0.2">
      <c r="B824" s="78">
        <f t="shared" si="75"/>
        <v>251</v>
      </c>
      <c r="C824" s="7"/>
      <c r="D824" s="7"/>
      <c r="E824" s="7"/>
      <c r="F824" s="24" t="s">
        <v>118</v>
      </c>
      <c r="G824" s="7">
        <v>710</v>
      </c>
      <c r="H824" s="7" t="s">
        <v>188</v>
      </c>
      <c r="I824" s="22"/>
      <c r="J824" s="22"/>
      <c r="K824" s="218"/>
      <c r="L824" s="278"/>
      <c r="M824" s="284">
        <f>M825</f>
        <v>38729</v>
      </c>
      <c r="N824" s="22">
        <f>N825</f>
        <v>37445</v>
      </c>
      <c r="O824" s="218">
        <f t="shared" si="73"/>
        <v>96.684654909757555</v>
      </c>
      <c r="P824" s="278"/>
      <c r="Q824" s="284">
        <f t="shared" si="76"/>
        <v>38729</v>
      </c>
      <c r="R824" s="22">
        <f t="shared" si="76"/>
        <v>37445</v>
      </c>
      <c r="S824" s="219">
        <f t="shared" si="74"/>
        <v>96.684654909757555</v>
      </c>
    </row>
    <row r="825" spans="2:19" x14ac:dyDescent="0.2">
      <c r="B825" s="78">
        <f t="shared" si="75"/>
        <v>252</v>
      </c>
      <c r="C825" s="3"/>
      <c r="D825" s="3"/>
      <c r="E825" s="3"/>
      <c r="F825" s="25" t="s">
        <v>118</v>
      </c>
      <c r="G825" s="3">
        <v>716</v>
      </c>
      <c r="H825" s="3" t="s">
        <v>231</v>
      </c>
      <c r="I825" s="18"/>
      <c r="J825" s="18"/>
      <c r="K825" s="218"/>
      <c r="L825" s="279"/>
      <c r="M825" s="285">
        <f>M826</f>
        <v>38729</v>
      </c>
      <c r="N825" s="18">
        <f>N826</f>
        <v>37445</v>
      </c>
      <c r="O825" s="218">
        <f t="shared" si="73"/>
        <v>96.684654909757555</v>
      </c>
      <c r="P825" s="279"/>
      <c r="Q825" s="285">
        <f t="shared" si="76"/>
        <v>38729</v>
      </c>
      <c r="R825" s="18">
        <f t="shared" si="76"/>
        <v>37445</v>
      </c>
      <c r="S825" s="219">
        <f t="shared" si="74"/>
        <v>96.684654909757555</v>
      </c>
    </row>
    <row r="826" spans="2:19" x14ac:dyDescent="0.2">
      <c r="B826" s="78">
        <f t="shared" si="75"/>
        <v>253</v>
      </c>
      <c r="C826" s="4"/>
      <c r="D826" s="4"/>
      <c r="E826" s="4"/>
      <c r="F826" s="26"/>
      <c r="G826" s="4"/>
      <c r="H826" s="4" t="s">
        <v>424</v>
      </c>
      <c r="I826" s="20"/>
      <c r="J826" s="20"/>
      <c r="K826" s="218"/>
      <c r="L826" s="280"/>
      <c r="M826" s="286">
        <f>50160-227-11204</f>
        <v>38729</v>
      </c>
      <c r="N826" s="20">
        <f>46+37399</f>
        <v>37445</v>
      </c>
      <c r="O826" s="218">
        <f t="shared" si="73"/>
        <v>96.684654909757555</v>
      </c>
      <c r="P826" s="280"/>
      <c r="Q826" s="286">
        <f t="shared" si="76"/>
        <v>38729</v>
      </c>
      <c r="R826" s="20">
        <f t="shared" si="76"/>
        <v>37445</v>
      </c>
      <c r="S826" s="219">
        <f t="shared" si="74"/>
        <v>96.684654909757555</v>
      </c>
    </row>
    <row r="827" spans="2:19" ht="15" x14ac:dyDescent="0.25">
      <c r="B827" s="78">
        <f t="shared" si="75"/>
        <v>254</v>
      </c>
      <c r="C827" s="10"/>
      <c r="D827" s="10"/>
      <c r="E827" s="10">
        <v>8</v>
      </c>
      <c r="F827" s="27"/>
      <c r="G827" s="10"/>
      <c r="H827" s="10" t="s">
        <v>10</v>
      </c>
      <c r="I827" s="37">
        <f>I828+I829+I830+I837+I838+I839+I845+I836+I846</f>
        <v>1603873</v>
      </c>
      <c r="J827" s="37">
        <f>J828+J829+J830+J837+J838+J839+J845+J836+J846</f>
        <v>1602626</v>
      </c>
      <c r="K827" s="218">
        <f t="shared" ref="K827:K890" si="77">J827/I827*100</f>
        <v>99.922250701894725</v>
      </c>
      <c r="L827" s="295"/>
      <c r="M827" s="299">
        <v>0</v>
      </c>
      <c r="N827" s="37"/>
      <c r="O827" s="218"/>
      <c r="P827" s="295"/>
      <c r="Q827" s="299">
        <f t="shared" si="76"/>
        <v>1603873</v>
      </c>
      <c r="R827" s="37">
        <f t="shared" si="76"/>
        <v>1602626</v>
      </c>
      <c r="S827" s="219">
        <f t="shared" si="74"/>
        <v>99.922250701894725</v>
      </c>
    </row>
    <row r="828" spans="2:19" x14ac:dyDescent="0.2">
      <c r="B828" s="78">
        <f t="shared" si="75"/>
        <v>255</v>
      </c>
      <c r="C828" s="7"/>
      <c r="D828" s="7"/>
      <c r="E828" s="7"/>
      <c r="F828" s="24" t="s">
        <v>131</v>
      </c>
      <c r="G828" s="7">
        <v>610</v>
      </c>
      <c r="H828" s="7" t="s">
        <v>143</v>
      </c>
      <c r="I828" s="22">
        <f>383230+1066+7280-43990-8346-1892</f>
        <v>337348</v>
      </c>
      <c r="J828" s="22">
        <v>337348</v>
      </c>
      <c r="K828" s="218">
        <f t="shared" si="77"/>
        <v>100</v>
      </c>
      <c r="L828" s="278"/>
      <c r="M828" s="284"/>
      <c r="N828" s="22"/>
      <c r="O828" s="218"/>
      <c r="P828" s="278"/>
      <c r="Q828" s="284">
        <f t="shared" si="76"/>
        <v>337348</v>
      </c>
      <c r="R828" s="22">
        <f t="shared" si="76"/>
        <v>337348</v>
      </c>
      <c r="S828" s="219">
        <f t="shared" si="74"/>
        <v>100</v>
      </c>
    </row>
    <row r="829" spans="2:19" x14ac:dyDescent="0.2">
      <c r="B829" s="78">
        <f t="shared" si="75"/>
        <v>256</v>
      </c>
      <c r="C829" s="7"/>
      <c r="D829" s="7"/>
      <c r="E829" s="7"/>
      <c r="F829" s="24" t="s">
        <v>131</v>
      </c>
      <c r="G829" s="7">
        <v>620</v>
      </c>
      <c r="H829" s="7" t="s">
        <v>136</v>
      </c>
      <c r="I829" s="22">
        <f>134082+373+2548-15396-2921+2747</f>
        <v>121433</v>
      </c>
      <c r="J829" s="22">
        <v>121433</v>
      </c>
      <c r="K829" s="218">
        <f t="shared" si="77"/>
        <v>100</v>
      </c>
      <c r="L829" s="278"/>
      <c r="M829" s="284"/>
      <c r="N829" s="22"/>
      <c r="O829" s="218"/>
      <c r="P829" s="278"/>
      <c r="Q829" s="284">
        <f t="shared" si="76"/>
        <v>121433</v>
      </c>
      <c r="R829" s="22">
        <f t="shared" si="76"/>
        <v>121433</v>
      </c>
      <c r="S829" s="219">
        <f t="shared" si="74"/>
        <v>100</v>
      </c>
    </row>
    <row r="830" spans="2:19" x14ac:dyDescent="0.2">
      <c r="B830" s="78">
        <f t="shared" si="75"/>
        <v>257</v>
      </c>
      <c r="C830" s="7"/>
      <c r="D830" s="7"/>
      <c r="E830" s="7"/>
      <c r="F830" s="24" t="s">
        <v>131</v>
      </c>
      <c r="G830" s="7">
        <v>630</v>
      </c>
      <c r="H830" s="7" t="s">
        <v>133</v>
      </c>
      <c r="I830" s="22">
        <f>SUM(I831:I835)</f>
        <v>80481</v>
      </c>
      <c r="J830" s="22">
        <f>SUM(J831:J835)</f>
        <v>80481</v>
      </c>
      <c r="K830" s="218">
        <f t="shared" si="77"/>
        <v>100</v>
      </c>
      <c r="L830" s="278"/>
      <c r="M830" s="284"/>
      <c r="N830" s="22"/>
      <c r="O830" s="218"/>
      <c r="P830" s="278"/>
      <c r="Q830" s="284">
        <f t="shared" si="76"/>
        <v>80481</v>
      </c>
      <c r="R830" s="22">
        <f t="shared" si="76"/>
        <v>80481</v>
      </c>
      <c r="S830" s="219">
        <f t="shared" ref="S830:S893" si="78">R830/Q830*100</f>
        <v>100</v>
      </c>
    </row>
    <row r="831" spans="2:19" x14ac:dyDescent="0.2">
      <c r="B831" s="78">
        <f t="shared" si="75"/>
        <v>258</v>
      </c>
      <c r="C831" s="3"/>
      <c r="D831" s="3"/>
      <c r="E831" s="3"/>
      <c r="F831" s="25" t="s">
        <v>131</v>
      </c>
      <c r="G831" s="3">
        <v>632</v>
      </c>
      <c r="H831" s="3" t="s">
        <v>146</v>
      </c>
      <c r="I831" s="18">
        <f>44390-7978</f>
        <v>36412</v>
      </c>
      <c r="J831" s="18">
        <v>36412</v>
      </c>
      <c r="K831" s="218">
        <f t="shared" si="77"/>
        <v>100</v>
      </c>
      <c r="L831" s="279"/>
      <c r="M831" s="285"/>
      <c r="N831" s="18"/>
      <c r="O831" s="218"/>
      <c r="P831" s="279"/>
      <c r="Q831" s="285">
        <f t="shared" si="76"/>
        <v>36412</v>
      </c>
      <c r="R831" s="18">
        <f t="shared" si="76"/>
        <v>36412</v>
      </c>
      <c r="S831" s="219">
        <f t="shared" si="78"/>
        <v>100</v>
      </c>
    </row>
    <row r="832" spans="2:19" x14ac:dyDescent="0.2">
      <c r="B832" s="78">
        <f t="shared" si="75"/>
        <v>259</v>
      </c>
      <c r="C832" s="3"/>
      <c r="D832" s="3"/>
      <c r="E832" s="3"/>
      <c r="F832" s="25" t="s">
        <v>131</v>
      </c>
      <c r="G832" s="3">
        <v>633</v>
      </c>
      <c r="H832" s="3" t="s">
        <v>137</v>
      </c>
      <c r="I832" s="18">
        <f>10583+916</f>
        <v>11499</v>
      </c>
      <c r="J832" s="18">
        <v>11499</v>
      </c>
      <c r="K832" s="218">
        <f t="shared" si="77"/>
        <v>100</v>
      </c>
      <c r="L832" s="279"/>
      <c r="M832" s="285"/>
      <c r="N832" s="18"/>
      <c r="O832" s="218"/>
      <c r="P832" s="279"/>
      <c r="Q832" s="285">
        <f t="shared" si="76"/>
        <v>11499</v>
      </c>
      <c r="R832" s="18">
        <f t="shared" si="76"/>
        <v>11499</v>
      </c>
      <c r="S832" s="219">
        <f t="shared" si="78"/>
        <v>100</v>
      </c>
    </row>
    <row r="833" spans="2:19" x14ac:dyDescent="0.2">
      <c r="B833" s="78">
        <f t="shared" ref="B833:B896" si="79">B832+1</f>
        <v>260</v>
      </c>
      <c r="C833" s="3"/>
      <c r="D833" s="3"/>
      <c r="E833" s="3"/>
      <c r="F833" s="25" t="s">
        <v>131</v>
      </c>
      <c r="G833" s="3">
        <v>635</v>
      </c>
      <c r="H833" s="3" t="s">
        <v>145</v>
      </c>
      <c r="I833" s="18">
        <f>4010+20</f>
        <v>4030</v>
      </c>
      <c r="J833" s="18">
        <v>4030</v>
      </c>
      <c r="K833" s="218">
        <f t="shared" si="77"/>
        <v>100</v>
      </c>
      <c r="L833" s="279"/>
      <c r="M833" s="285"/>
      <c r="N833" s="18"/>
      <c r="O833" s="218"/>
      <c r="P833" s="279"/>
      <c r="Q833" s="285">
        <f t="shared" si="76"/>
        <v>4030</v>
      </c>
      <c r="R833" s="18">
        <f t="shared" si="76"/>
        <v>4030</v>
      </c>
      <c r="S833" s="219">
        <f t="shared" si="78"/>
        <v>100</v>
      </c>
    </row>
    <row r="834" spans="2:19" x14ac:dyDescent="0.2">
      <c r="B834" s="78">
        <f t="shared" si="79"/>
        <v>261</v>
      </c>
      <c r="C834" s="3"/>
      <c r="D834" s="3"/>
      <c r="E834" s="3"/>
      <c r="F834" s="25" t="s">
        <v>131</v>
      </c>
      <c r="G834" s="3">
        <v>636</v>
      </c>
      <c r="H834" s="3" t="s">
        <v>138</v>
      </c>
      <c r="I834" s="18">
        <v>1400</v>
      </c>
      <c r="J834" s="18">
        <v>1400</v>
      </c>
      <c r="K834" s="218">
        <f t="shared" si="77"/>
        <v>100</v>
      </c>
      <c r="L834" s="279"/>
      <c r="M834" s="285"/>
      <c r="N834" s="18"/>
      <c r="O834" s="218"/>
      <c r="P834" s="279"/>
      <c r="Q834" s="285">
        <f t="shared" si="76"/>
        <v>1400</v>
      </c>
      <c r="R834" s="18">
        <f t="shared" si="76"/>
        <v>1400</v>
      </c>
      <c r="S834" s="219">
        <f t="shared" si="78"/>
        <v>100</v>
      </c>
    </row>
    <row r="835" spans="2:19" x14ac:dyDescent="0.2">
      <c r="B835" s="78">
        <f t="shared" si="79"/>
        <v>262</v>
      </c>
      <c r="C835" s="3"/>
      <c r="D835" s="3"/>
      <c r="E835" s="3"/>
      <c r="F835" s="25" t="s">
        <v>131</v>
      </c>
      <c r="G835" s="3">
        <v>637</v>
      </c>
      <c r="H835" s="3" t="s">
        <v>134</v>
      </c>
      <c r="I835" s="18">
        <f>25840+1300</f>
        <v>27140</v>
      </c>
      <c r="J835" s="18">
        <v>27140</v>
      </c>
      <c r="K835" s="218">
        <f t="shared" si="77"/>
        <v>100</v>
      </c>
      <c r="L835" s="279"/>
      <c r="M835" s="285"/>
      <c r="N835" s="18"/>
      <c r="O835" s="218"/>
      <c r="P835" s="279"/>
      <c r="Q835" s="285">
        <f t="shared" si="76"/>
        <v>27140</v>
      </c>
      <c r="R835" s="18">
        <f t="shared" si="76"/>
        <v>27140</v>
      </c>
      <c r="S835" s="219">
        <f t="shared" si="78"/>
        <v>100</v>
      </c>
    </row>
    <row r="836" spans="2:19" x14ac:dyDescent="0.2">
      <c r="B836" s="78">
        <f t="shared" si="79"/>
        <v>263</v>
      </c>
      <c r="C836" s="3"/>
      <c r="D836" s="3"/>
      <c r="E836" s="3"/>
      <c r="F836" s="29" t="s">
        <v>131</v>
      </c>
      <c r="G836" s="2">
        <v>640</v>
      </c>
      <c r="H836" s="2" t="s">
        <v>141</v>
      </c>
      <c r="I836" s="17">
        <f>950+842</f>
        <v>1792</v>
      </c>
      <c r="J836" s="17">
        <v>1716</v>
      </c>
      <c r="K836" s="218">
        <f t="shared" si="77"/>
        <v>95.758928571428569</v>
      </c>
      <c r="L836" s="278"/>
      <c r="M836" s="289"/>
      <c r="N836" s="17"/>
      <c r="O836" s="218"/>
      <c r="P836" s="278"/>
      <c r="Q836" s="289">
        <f t="shared" si="76"/>
        <v>1792</v>
      </c>
      <c r="R836" s="17">
        <f t="shared" si="76"/>
        <v>1716</v>
      </c>
      <c r="S836" s="219">
        <f t="shared" si="78"/>
        <v>95.758928571428569</v>
      </c>
    </row>
    <row r="837" spans="2:19" x14ac:dyDescent="0.2">
      <c r="B837" s="78">
        <f t="shared" si="79"/>
        <v>264</v>
      </c>
      <c r="C837" s="7"/>
      <c r="D837" s="7"/>
      <c r="E837" s="7"/>
      <c r="F837" s="24" t="s">
        <v>118</v>
      </c>
      <c r="G837" s="7">
        <v>610</v>
      </c>
      <c r="H837" s="7" t="s">
        <v>143</v>
      </c>
      <c r="I837" s="22">
        <f>619412+1066+7280+50+8346+1035-7100</f>
        <v>630089</v>
      </c>
      <c r="J837" s="22">
        <v>630089</v>
      </c>
      <c r="K837" s="218">
        <f t="shared" si="77"/>
        <v>100</v>
      </c>
      <c r="L837" s="278"/>
      <c r="M837" s="284"/>
      <c r="N837" s="22"/>
      <c r="O837" s="218"/>
      <c r="P837" s="278"/>
      <c r="Q837" s="284">
        <f t="shared" si="76"/>
        <v>630089</v>
      </c>
      <c r="R837" s="22">
        <f t="shared" si="76"/>
        <v>630089</v>
      </c>
      <c r="S837" s="219">
        <f t="shared" si="78"/>
        <v>100</v>
      </c>
    </row>
    <row r="838" spans="2:19" x14ac:dyDescent="0.2">
      <c r="B838" s="78">
        <f t="shared" si="79"/>
        <v>265</v>
      </c>
      <c r="C838" s="7"/>
      <c r="D838" s="7"/>
      <c r="E838" s="7"/>
      <c r="F838" s="24" t="s">
        <v>118</v>
      </c>
      <c r="G838" s="7">
        <v>620</v>
      </c>
      <c r="H838" s="7" t="s">
        <v>136</v>
      </c>
      <c r="I838" s="22">
        <f>216841+374+2548+10+2921+365+3275</f>
        <v>226334</v>
      </c>
      <c r="J838" s="22">
        <v>226334</v>
      </c>
      <c r="K838" s="218">
        <f t="shared" si="77"/>
        <v>100</v>
      </c>
      <c r="L838" s="278"/>
      <c r="M838" s="284"/>
      <c r="N838" s="22"/>
      <c r="O838" s="218"/>
      <c r="P838" s="278"/>
      <c r="Q838" s="284">
        <f t="shared" si="76"/>
        <v>226334</v>
      </c>
      <c r="R838" s="22">
        <f t="shared" si="76"/>
        <v>226334</v>
      </c>
      <c r="S838" s="219">
        <f t="shared" si="78"/>
        <v>100</v>
      </c>
    </row>
    <row r="839" spans="2:19" x14ac:dyDescent="0.2">
      <c r="B839" s="78">
        <f t="shared" si="79"/>
        <v>266</v>
      </c>
      <c r="C839" s="7"/>
      <c r="D839" s="7"/>
      <c r="E839" s="7"/>
      <c r="F839" s="24" t="s">
        <v>118</v>
      </c>
      <c r="G839" s="7">
        <v>630</v>
      </c>
      <c r="H839" s="7" t="s">
        <v>133</v>
      </c>
      <c r="I839" s="22">
        <f>SUM(I840:I844)</f>
        <v>199733</v>
      </c>
      <c r="J839" s="22">
        <f>SUM(J840:J844)</f>
        <v>198566</v>
      </c>
      <c r="K839" s="218">
        <f t="shared" si="77"/>
        <v>99.415719986181557</v>
      </c>
      <c r="L839" s="278"/>
      <c r="M839" s="284"/>
      <c r="N839" s="22"/>
      <c r="O839" s="218"/>
      <c r="P839" s="278"/>
      <c r="Q839" s="284">
        <f t="shared" si="76"/>
        <v>199733</v>
      </c>
      <c r="R839" s="22">
        <f t="shared" si="76"/>
        <v>198566</v>
      </c>
      <c r="S839" s="219">
        <f t="shared" si="78"/>
        <v>99.415719986181557</v>
      </c>
    </row>
    <row r="840" spans="2:19" x14ac:dyDescent="0.2">
      <c r="B840" s="78">
        <f t="shared" si="79"/>
        <v>267</v>
      </c>
      <c r="C840" s="3"/>
      <c r="D840" s="3"/>
      <c r="E840" s="3"/>
      <c r="F840" s="25" t="s">
        <v>118</v>
      </c>
      <c r="G840" s="3">
        <v>632</v>
      </c>
      <c r="H840" s="3" t="s">
        <v>146</v>
      </c>
      <c r="I840" s="18">
        <f>82725-3500</f>
        <v>79225</v>
      </c>
      <c r="J840" s="18">
        <v>78058</v>
      </c>
      <c r="K840" s="218">
        <f t="shared" si="77"/>
        <v>98.526980119911642</v>
      </c>
      <c r="L840" s="279"/>
      <c r="M840" s="285"/>
      <c r="N840" s="18"/>
      <c r="O840" s="218"/>
      <c r="P840" s="279"/>
      <c r="Q840" s="285">
        <f t="shared" si="76"/>
        <v>79225</v>
      </c>
      <c r="R840" s="18">
        <f t="shared" si="76"/>
        <v>78058</v>
      </c>
      <c r="S840" s="219">
        <f t="shared" si="78"/>
        <v>98.526980119911642</v>
      </c>
    </row>
    <row r="841" spans="2:19" x14ac:dyDescent="0.2">
      <c r="B841" s="78">
        <f t="shared" si="79"/>
        <v>268</v>
      </c>
      <c r="C841" s="3"/>
      <c r="D841" s="3"/>
      <c r="E841" s="3"/>
      <c r="F841" s="25" t="s">
        <v>118</v>
      </c>
      <c r="G841" s="3">
        <v>633</v>
      </c>
      <c r="H841" s="3" t="s">
        <v>137</v>
      </c>
      <c r="I841" s="18">
        <f>32268+200-2820</f>
        <v>29648</v>
      </c>
      <c r="J841" s="18">
        <v>29648</v>
      </c>
      <c r="K841" s="218">
        <f t="shared" si="77"/>
        <v>100</v>
      </c>
      <c r="L841" s="279"/>
      <c r="M841" s="285"/>
      <c r="N841" s="18"/>
      <c r="O841" s="218"/>
      <c r="P841" s="279"/>
      <c r="Q841" s="285">
        <f t="shared" si="76"/>
        <v>29648</v>
      </c>
      <c r="R841" s="18">
        <f t="shared" si="76"/>
        <v>29648</v>
      </c>
      <c r="S841" s="219">
        <f t="shared" si="78"/>
        <v>100</v>
      </c>
    </row>
    <row r="842" spans="2:19" x14ac:dyDescent="0.2">
      <c r="B842" s="78">
        <f t="shared" si="79"/>
        <v>269</v>
      </c>
      <c r="C842" s="3"/>
      <c r="D842" s="3"/>
      <c r="E842" s="3"/>
      <c r="F842" s="25" t="s">
        <v>118</v>
      </c>
      <c r="G842" s="3">
        <v>635</v>
      </c>
      <c r="H842" s="3" t="s">
        <v>145</v>
      </c>
      <c r="I842" s="18">
        <f>10730+4230</f>
        <v>14960</v>
      </c>
      <c r="J842" s="18">
        <v>14960</v>
      </c>
      <c r="K842" s="218">
        <f t="shared" si="77"/>
        <v>100</v>
      </c>
      <c r="L842" s="279"/>
      <c r="M842" s="285"/>
      <c r="N842" s="18"/>
      <c r="O842" s="218"/>
      <c r="P842" s="279"/>
      <c r="Q842" s="285">
        <f t="shared" si="76"/>
        <v>14960</v>
      </c>
      <c r="R842" s="18">
        <f t="shared" si="76"/>
        <v>14960</v>
      </c>
      <c r="S842" s="219">
        <f t="shared" si="78"/>
        <v>100</v>
      </c>
    </row>
    <row r="843" spans="2:19" x14ac:dyDescent="0.2">
      <c r="B843" s="78">
        <f t="shared" si="79"/>
        <v>270</v>
      </c>
      <c r="C843" s="3"/>
      <c r="D843" s="3"/>
      <c r="E843" s="3"/>
      <c r="F843" s="25" t="s">
        <v>118</v>
      </c>
      <c r="G843" s="3">
        <v>636</v>
      </c>
      <c r="H843" s="3" t="s">
        <v>138</v>
      </c>
      <c r="I843" s="18">
        <f>43000-1200</f>
        <v>41800</v>
      </c>
      <c r="J843" s="18">
        <v>41800</v>
      </c>
      <c r="K843" s="218">
        <f t="shared" si="77"/>
        <v>100</v>
      </c>
      <c r="L843" s="279"/>
      <c r="M843" s="285"/>
      <c r="N843" s="18"/>
      <c r="O843" s="218"/>
      <c r="P843" s="279"/>
      <c r="Q843" s="285">
        <f t="shared" si="76"/>
        <v>41800</v>
      </c>
      <c r="R843" s="18">
        <f t="shared" si="76"/>
        <v>41800</v>
      </c>
      <c r="S843" s="219">
        <f t="shared" si="78"/>
        <v>100</v>
      </c>
    </row>
    <row r="844" spans="2:19" x14ac:dyDescent="0.2">
      <c r="B844" s="78">
        <f t="shared" si="79"/>
        <v>271</v>
      </c>
      <c r="C844" s="3"/>
      <c r="D844" s="3"/>
      <c r="E844" s="3"/>
      <c r="F844" s="25" t="s">
        <v>118</v>
      </c>
      <c r="G844" s="3">
        <v>637</v>
      </c>
      <c r="H844" s="3" t="s">
        <v>134</v>
      </c>
      <c r="I844" s="18">
        <f>40250-6150</f>
        <v>34100</v>
      </c>
      <c r="J844" s="18">
        <v>34100</v>
      </c>
      <c r="K844" s="218">
        <f t="shared" si="77"/>
        <v>100</v>
      </c>
      <c r="L844" s="279"/>
      <c r="M844" s="285"/>
      <c r="N844" s="18"/>
      <c r="O844" s="218"/>
      <c r="P844" s="279"/>
      <c r="Q844" s="285">
        <f t="shared" si="76"/>
        <v>34100</v>
      </c>
      <c r="R844" s="18">
        <f t="shared" si="76"/>
        <v>34100</v>
      </c>
      <c r="S844" s="219">
        <f t="shared" si="78"/>
        <v>100</v>
      </c>
    </row>
    <row r="845" spans="2:19" x14ac:dyDescent="0.2">
      <c r="B845" s="78">
        <f t="shared" si="79"/>
        <v>272</v>
      </c>
      <c r="C845" s="7"/>
      <c r="D845" s="7"/>
      <c r="E845" s="7"/>
      <c r="F845" s="24" t="s">
        <v>118</v>
      </c>
      <c r="G845" s="7">
        <v>640</v>
      </c>
      <c r="H845" s="7" t="s">
        <v>141</v>
      </c>
      <c r="I845" s="22">
        <f>8410-2802</f>
        <v>5608</v>
      </c>
      <c r="J845" s="22">
        <v>5608</v>
      </c>
      <c r="K845" s="218">
        <f t="shared" si="77"/>
        <v>100</v>
      </c>
      <c r="L845" s="278"/>
      <c r="M845" s="284"/>
      <c r="N845" s="22"/>
      <c r="O845" s="218"/>
      <c r="P845" s="278"/>
      <c r="Q845" s="284">
        <f t="shared" si="76"/>
        <v>5608</v>
      </c>
      <c r="R845" s="22">
        <f t="shared" si="76"/>
        <v>5608</v>
      </c>
      <c r="S845" s="219">
        <f t="shared" si="78"/>
        <v>100</v>
      </c>
    </row>
    <row r="846" spans="2:19" x14ac:dyDescent="0.2">
      <c r="B846" s="78">
        <f t="shared" si="79"/>
        <v>273</v>
      </c>
      <c r="C846" s="7"/>
      <c r="D846" s="7"/>
      <c r="E846" s="7"/>
      <c r="F846" s="24" t="s">
        <v>83</v>
      </c>
      <c r="G846" s="7">
        <v>630</v>
      </c>
      <c r="H846" s="7" t="s">
        <v>647</v>
      </c>
      <c r="I846" s="22">
        <v>1055</v>
      </c>
      <c r="J846" s="22">
        <v>1051</v>
      </c>
      <c r="K846" s="218">
        <f t="shared" si="77"/>
        <v>99.620853080568722</v>
      </c>
      <c r="L846" s="278"/>
      <c r="M846" s="284"/>
      <c r="N846" s="22"/>
      <c r="O846" s="218"/>
      <c r="P846" s="278"/>
      <c r="Q846" s="284"/>
      <c r="R846" s="22">
        <f t="shared" si="76"/>
        <v>1051</v>
      </c>
      <c r="S846" s="219"/>
    </row>
    <row r="847" spans="2:19" ht="15" x14ac:dyDescent="0.25">
      <c r="B847" s="78">
        <f t="shared" si="79"/>
        <v>274</v>
      </c>
      <c r="C847" s="10"/>
      <c r="D847" s="10"/>
      <c r="E847" s="10">
        <v>9</v>
      </c>
      <c r="F847" s="27"/>
      <c r="G847" s="10"/>
      <c r="H847" s="10" t="s">
        <v>8</v>
      </c>
      <c r="I847" s="37">
        <f>I848+I849+I850+I858+I859+I860+I861+I868+I869+I870</f>
        <v>763471</v>
      </c>
      <c r="J847" s="37">
        <f>J848+J849+J850+J858+J859+J860+J861+J868+J869+J870</f>
        <v>760493</v>
      </c>
      <c r="K847" s="218">
        <f t="shared" si="77"/>
        <v>99.609939342817214</v>
      </c>
      <c r="L847" s="295"/>
      <c r="M847" s="299">
        <f>M848+M849+M850+M858+M859+M860+M861+M868+M871</f>
        <v>384000</v>
      </c>
      <c r="N847" s="37">
        <f>N848+N849+N850+N858+N859+N860+N861+N868+N871</f>
        <v>380653</v>
      </c>
      <c r="O847" s="218">
        <f t="shared" ref="O847:O875" si="80">N847/M847*100</f>
        <v>99.12838541666666</v>
      </c>
      <c r="P847" s="295"/>
      <c r="Q847" s="299">
        <f t="shared" si="76"/>
        <v>1147471</v>
      </c>
      <c r="R847" s="37">
        <f t="shared" si="76"/>
        <v>1141146</v>
      </c>
      <c r="S847" s="219">
        <f t="shared" si="78"/>
        <v>99.448787812502445</v>
      </c>
    </row>
    <row r="848" spans="2:19" x14ac:dyDescent="0.2">
      <c r="B848" s="78">
        <f t="shared" si="79"/>
        <v>275</v>
      </c>
      <c r="C848" s="7"/>
      <c r="D848" s="7"/>
      <c r="E848" s="7"/>
      <c r="F848" s="24" t="s">
        <v>131</v>
      </c>
      <c r="G848" s="7">
        <v>610</v>
      </c>
      <c r="H848" s="7" t="s">
        <v>143</v>
      </c>
      <c r="I848" s="22">
        <f>190070+14187+17287-18187+1950+5825</f>
        <v>211132</v>
      </c>
      <c r="J848" s="22">
        <v>211132</v>
      </c>
      <c r="K848" s="218">
        <f t="shared" si="77"/>
        <v>100</v>
      </c>
      <c r="L848" s="278"/>
      <c r="M848" s="284"/>
      <c r="N848" s="22"/>
      <c r="O848" s="218"/>
      <c r="P848" s="278"/>
      <c r="Q848" s="284">
        <f t="shared" si="76"/>
        <v>211132</v>
      </c>
      <c r="R848" s="22">
        <f t="shared" si="76"/>
        <v>211132</v>
      </c>
      <c r="S848" s="219">
        <f t="shared" si="78"/>
        <v>100</v>
      </c>
    </row>
    <row r="849" spans="2:19" x14ac:dyDescent="0.2">
      <c r="B849" s="78">
        <f t="shared" si="79"/>
        <v>276</v>
      </c>
      <c r="C849" s="7"/>
      <c r="D849" s="7"/>
      <c r="E849" s="7"/>
      <c r="F849" s="24" t="s">
        <v>131</v>
      </c>
      <c r="G849" s="7">
        <v>620</v>
      </c>
      <c r="H849" s="7" t="s">
        <v>136</v>
      </c>
      <c r="I849" s="22">
        <f>67464+4958+6042-6356+700+2132</f>
        <v>74940</v>
      </c>
      <c r="J849" s="22">
        <v>74921</v>
      </c>
      <c r="K849" s="218">
        <f t="shared" si="77"/>
        <v>99.974646383773688</v>
      </c>
      <c r="L849" s="278"/>
      <c r="M849" s="284"/>
      <c r="N849" s="22"/>
      <c r="O849" s="218"/>
      <c r="P849" s="278"/>
      <c r="Q849" s="284">
        <f t="shared" si="76"/>
        <v>74940</v>
      </c>
      <c r="R849" s="22">
        <f t="shared" si="76"/>
        <v>74921</v>
      </c>
      <c r="S849" s="219">
        <f t="shared" si="78"/>
        <v>99.974646383773688</v>
      </c>
    </row>
    <row r="850" spans="2:19" x14ac:dyDescent="0.2">
      <c r="B850" s="78">
        <f t="shared" si="79"/>
        <v>277</v>
      </c>
      <c r="C850" s="7"/>
      <c r="D850" s="7"/>
      <c r="E850" s="7"/>
      <c r="F850" s="24" t="s">
        <v>131</v>
      </c>
      <c r="G850" s="7">
        <v>630</v>
      </c>
      <c r="H850" s="7" t="s">
        <v>133</v>
      </c>
      <c r="I850" s="22">
        <f>SUM(I851:I857)</f>
        <v>50484</v>
      </c>
      <c r="J850" s="22">
        <f>SUM(J851:J857)</f>
        <v>49881</v>
      </c>
      <c r="K850" s="218">
        <f t="shared" si="77"/>
        <v>98.80556215830758</v>
      </c>
      <c r="L850" s="278"/>
      <c r="M850" s="284"/>
      <c r="N850" s="22"/>
      <c r="O850" s="218"/>
      <c r="P850" s="278"/>
      <c r="Q850" s="284">
        <f t="shared" si="76"/>
        <v>50484</v>
      </c>
      <c r="R850" s="22">
        <f t="shared" si="76"/>
        <v>49881</v>
      </c>
      <c r="S850" s="219">
        <f t="shared" si="78"/>
        <v>98.80556215830758</v>
      </c>
    </row>
    <row r="851" spans="2:19" x14ac:dyDescent="0.2">
      <c r="B851" s="78">
        <f t="shared" si="79"/>
        <v>278</v>
      </c>
      <c r="C851" s="3"/>
      <c r="D851" s="3"/>
      <c r="E851" s="3"/>
      <c r="F851" s="25" t="s">
        <v>131</v>
      </c>
      <c r="G851" s="3">
        <v>631</v>
      </c>
      <c r="H851" s="3" t="s">
        <v>139</v>
      </c>
      <c r="I851" s="18">
        <f>101+399</f>
        <v>500</v>
      </c>
      <c r="J851" s="18">
        <v>450</v>
      </c>
      <c r="K851" s="218">
        <f t="shared" si="77"/>
        <v>90</v>
      </c>
      <c r="L851" s="279"/>
      <c r="M851" s="285"/>
      <c r="N851" s="18"/>
      <c r="O851" s="218"/>
      <c r="P851" s="279"/>
      <c r="Q851" s="285">
        <f t="shared" si="76"/>
        <v>500</v>
      </c>
      <c r="R851" s="18">
        <f t="shared" si="76"/>
        <v>450</v>
      </c>
      <c r="S851" s="219">
        <f t="shared" si="78"/>
        <v>90</v>
      </c>
    </row>
    <row r="852" spans="2:19" x14ac:dyDescent="0.2">
      <c r="B852" s="78">
        <f t="shared" si="79"/>
        <v>279</v>
      </c>
      <c r="C852" s="3"/>
      <c r="D852" s="3"/>
      <c r="E852" s="3"/>
      <c r="F852" s="25" t="s">
        <v>131</v>
      </c>
      <c r="G852" s="3">
        <v>632</v>
      </c>
      <c r="H852" s="3" t="s">
        <v>146</v>
      </c>
      <c r="I852" s="18">
        <f>18920+280-3000</f>
        <v>16200</v>
      </c>
      <c r="J852" s="18">
        <v>15935</v>
      </c>
      <c r="K852" s="218">
        <f t="shared" si="77"/>
        <v>98.364197530864189</v>
      </c>
      <c r="L852" s="279"/>
      <c r="M852" s="285"/>
      <c r="N852" s="18"/>
      <c r="O852" s="218"/>
      <c r="P852" s="279"/>
      <c r="Q852" s="285">
        <f t="shared" si="76"/>
        <v>16200</v>
      </c>
      <c r="R852" s="18">
        <f t="shared" si="76"/>
        <v>15935</v>
      </c>
      <c r="S852" s="219">
        <f t="shared" si="78"/>
        <v>98.364197530864189</v>
      </c>
    </row>
    <row r="853" spans="2:19" x14ac:dyDescent="0.2">
      <c r="B853" s="78">
        <f t="shared" si="79"/>
        <v>280</v>
      </c>
      <c r="C853" s="3"/>
      <c r="D853" s="3"/>
      <c r="E853" s="3"/>
      <c r="F853" s="25" t="s">
        <v>131</v>
      </c>
      <c r="G853" s="3">
        <v>633</v>
      </c>
      <c r="H853" s="3" t="s">
        <v>137</v>
      </c>
      <c r="I853" s="18">
        <f>5100+400+4129</f>
        <v>9629</v>
      </c>
      <c r="J853" s="18">
        <v>9629</v>
      </c>
      <c r="K853" s="218">
        <f t="shared" si="77"/>
        <v>100</v>
      </c>
      <c r="L853" s="279"/>
      <c r="M853" s="285"/>
      <c r="N853" s="18"/>
      <c r="O853" s="218"/>
      <c r="P853" s="279"/>
      <c r="Q853" s="285">
        <f t="shared" si="76"/>
        <v>9629</v>
      </c>
      <c r="R853" s="18">
        <f t="shared" si="76"/>
        <v>9629</v>
      </c>
      <c r="S853" s="219">
        <f t="shared" si="78"/>
        <v>100</v>
      </c>
    </row>
    <row r="854" spans="2:19" x14ac:dyDescent="0.2">
      <c r="B854" s="78">
        <f t="shared" si="79"/>
        <v>281</v>
      </c>
      <c r="C854" s="3"/>
      <c r="D854" s="3"/>
      <c r="E854" s="3"/>
      <c r="F854" s="25" t="s">
        <v>131</v>
      </c>
      <c r="G854" s="3">
        <v>634</v>
      </c>
      <c r="H854" s="3" t="s">
        <v>144</v>
      </c>
      <c r="I854" s="18">
        <f>936+80</f>
        <v>1016</v>
      </c>
      <c r="J854" s="18">
        <v>754</v>
      </c>
      <c r="K854" s="218">
        <f t="shared" si="77"/>
        <v>74.212598425196859</v>
      </c>
      <c r="L854" s="279"/>
      <c r="M854" s="285"/>
      <c r="N854" s="18"/>
      <c r="O854" s="218"/>
      <c r="P854" s="279"/>
      <c r="Q854" s="285">
        <f t="shared" si="76"/>
        <v>1016</v>
      </c>
      <c r="R854" s="18">
        <f t="shared" si="76"/>
        <v>754</v>
      </c>
      <c r="S854" s="219">
        <f t="shared" si="78"/>
        <v>74.212598425196859</v>
      </c>
    </row>
    <row r="855" spans="2:19" x14ac:dyDescent="0.2">
      <c r="B855" s="78">
        <f t="shared" si="79"/>
        <v>282</v>
      </c>
      <c r="C855" s="3"/>
      <c r="D855" s="3"/>
      <c r="E855" s="3"/>
      <c r="F855" s="25" t="s">
        <v>131</v>
      </c>
      <c r="G855" s="3">
        <v>635</v>
      </c>
      <c r="H855" s="3" t="s">
        <v>145</v>
      </c>
      <c r="I855" s="18">
        <f>1300+743</f>
        <v>2043</v>
      </c>
      <c r="J855" s="18">
        <v>2043</v>
      </c>
      <c r="K855" s="218">
        <f t="shared" si="77"/>
        <v>100</v>
      </c>
      <c r="L855" s="279"/>
      <c r="M855" s="285"/>
      <c r="N855" s="18"/>
      <c r="O855" s="218"/>
      <c r="P855" s="279"/>
      <c r="Q855" s="285">
        <f t="shared" si="76"/>
        <v>2043</v>
      </c>
      <c r="R855" s="18">
        <f t="shared" si="76"/>
        <v>2043</v>
      </c>
      <c r="S855" s="219">
        <f t="shared" si="78"/>
        <v>100</v>
      </c>
    </row>
    <row r="856" spans="2:19" x14ac:dyDescent="0.2">
      <c r="B856" s="78">
        <f t="shared" si="79"/>
        <v>283</v>
      </c>
      <c r="C856" s="3"/>
      <c r="D856" s="3"/>
      <c r="E856" s="3"/>
      <c r="F856" s="25" t="s">
        <v>131</v>
      </c>
      <c r="G856" s="3">
        <v>636</v>
      </c>
      <c r="H856" s="3" t="s">
        <v>138</v>
      </c>
      <c r="I856" s="18">
        <v>139</v>
      </c>
      <c r="J856" s="18">
        <v>113</v>
      </c>
      <c r="K856" s="218">
        <f t="shared" si="77"/>
        <v>81.294964028776988</v>
      </c>
      <c r="L856" s="279"/>
      <c r="M856" s="285"/>
      <c r="N856" s="18"/>
      <c r="O856" s="218"/>
      <c r="P856" s="279"/>
      <c r="Q856" s="285"/>
      <c r="R856" s="18">
        <f t="shared" si="76"/>
        <v>113</v>
      </c>
      <c r="S856" s="219"/>
    </row>
    <row r="857" spans="2:19" x14ac:dyDescent="0.2">
      <c r="B857" s="78">
        <f t="shared" si="79"/>
        <v>284</v>
      </c>
      <c r="C857" s="3"/>
      <c r="D857" s="3"/>
      <c r="E857" s="3"/>
      <c r="F857" s="25" t="s">
        <v>131</v>
      </c>
      <c r="G857" s="3">
        <v>637</v>
      </c>
      <c r="H857" s="3" t="s">
        <v>134</v>
      </c>
      <c r="I857" s="18">
        <f>19509+1329+119</f>
        <v>20957</v>
      </c>
      <c r="J857" s="18">
        <v>20957</v>
      </c>
      <c r="K857" s="218">
        <f t="shared" si="77"/>
        <v>100</v>
      </c>
      <c r="L857" s="279"/>
      <c r="M857" s="285"/>
      <c r="N857" s="18"/>
      <c r="O857" s="218"/>
      <c r="P857" s="279"/>
      <c r="Q857" s="285">
        <f t="shared" si="76"/>
        <v>20957</v>
      </c>
      <c r="R857" s="18">
        <f t="shared" si="76"/>
        <v>20957</v>
      </c>
      <c r="S857" s="219">
        <f t="shared" si="78"/>
        <v>100</v>
      </c>
    </row>
    <row r="858" spans="2:19" x14ac:dyDescent="0.2">
      <c r="B858" s="78">
        <f t="shared" si="79"/>
        <v>285</v>
      </c>
      <c r="C858" s="7"/>
      <c r="D858" s="7"/>
      <c r="E858" s="7"/>
      <c r="F858" s="24" t="s">
        <v>131</v>
      </c>
      <c r="G858" s="7">
        <v>640</v>
      </c>
      <c r="H858" s="7" t="s">
        <v>141</v>
      </c>
      <c r="I858" s="22">
        <f>3350+150-950</f>
        <v>2550</v>
      </c>
      <c r="J858" s="22">
        <v>2550</v>
      </c>
      <c r="K858" s="218">
        <f t="shared" si="77"/>
        <v>100</v>
      </c>
      <c r="L858" s="278"/>
      <c r="M858" s="284"/>
      <c r="N858" s="22"/>
      <c r="O858" s="218"/>
      <c r="P858" s="278"/>
      <c r="Q858" s="284">
        <f t="shared" si="76"/>
        <v>2550</v>
      </c>
      <c r="R858" s="22">
        <f t="shared" si="76"/>
        <v>2550</v>
      </c>
      <c r="S858" s="219">
        <f t="shared" si="78"/>
        <v>100</v>
      </c>
    </row>
    <row r="859" spans="2:19" x14ac:dyDescent="0.2">
      <c r="B859" s="78">
        <f t="shared" si="79"/>
        <v>286</v>
      </c>
      <c r="C859" s="7"/>
      <c r="D859" s="7"/>
      <c r="E859" s="7"/>
      <c r="F859" s="24" t="s">
        <v>118</v>
      </c>
      <c r="G859" s="7">
        <v>610</v>
      </c>
      <c r="H859" s="7" t="s">
        <v>143</v>
      </c>
      <c r="I859" s="22">
        <f>190070+14188+17338+18187+16855</f>
        <v>256638</v>
      </c>
      <c r="J859" s="22">
        <v>256638</v>
      </c>
      <c r="K859" s="218">
        <f t="shared" si="77"/>
        <v>100</v>
      </c>
      <c r="L859" s="278"/>
      <c r="M859" s="284"/>
      <c r="N859" s="22"/>
      <c r="O859" s="218"/>
      <c r="P859" s="278"/>
      <c r="Q859" s="284">
        <f t="shared" si="76"/>
        <v>256638</v>
      </c>
      <c r="R859" s="22">
        <f t="shared" si="76"/>
        <v>256638</v>
      </c>
      <c r="S859" s="219">
        <f t="shared" si="78"/>
        <v>100</v>
      </c>
    </row>
    <row r="860" spans="2:19" x14ac:dyDescent="0.2">
      <c r="B860" s="78">
        <f t="shared" si="79"/>
        <v>287</v>
      </c>
      <c r="C860" s="7"/>
      <c r="D860" s="7"/>
      <c r="E860" s="7"/>
      <c r="F860" s="24" t="s">
        <v>118</v>
      </c>
      <c r="G860" s="7">
        <v>620</v>
      </c>
      <c r="H860" s="7" t="s">
        <v>136</v>
      </c>
      <c r="I860" s="22">
        <f>67466+4959+6052+6356+5990</f>
        <v>90823</v>
      </c>
      <c r="J860" s="22">
        <v>90823</v>
      </c>
      <c r="K860" s="218">
        <f t="shared" si="77"/>
        <v>100</v>
      </c>
      <c r="L860" s="278"/>
      <c r="M860" s="284"/>
      <c r="N860" s="22"/>
      <c r="O860" s="218"/>
      <c r="P860" s="278"/>
      <c r="Q860" s="284">
        <f t="shared" si="76"/>
        <v>90823</v>
      </c>
      <c r="R860" s="22">
        <f t="shared" si="76"/>
        <v>90823</v>
      </c>
      <c r="S860" s="219">
        <f t="shared" si="78"/>
        <v>100</v>
      </c>
    </row>
    <row r="861" spans="2:19" x14ac:dyDescent="0.2">
      <c r="B861" s="78">
        <f t="shared" si="79"/>
        <v>288</v>
      </c>
      <c r="C861" s="7"/>
      <c r="D861" s="7"/>
      <c r="E861" s="7"/>
      <c r="F861" s="24" t="s">
        <v>118</v>
      </c>
      <c r="G861" s="7">
        <v>630</v>
      </c>
      <c r="H861" s="7" t="s">
        <v>133</v>
      </c>
      <c r="I861" s="22">
        <f>SUM(I862:I867)</f>
        <v>64549</v>
      </c>
      <c r="J861" s="22">
        <f>SUM(J862:J867)</f>
        <v>62216</v>
      </c>
      <c r="K861" s="218">
        <f t="shared" si="77"/>
        <v>96.385691490185749</v>
      </c>
      <c r="L861" s="278"/>
      <c r="M861" s="284"/>
      <c r="N861" s="22"/>
      <c r="O861" s="218"/>
      <c r="P861" s="278"/>
      <c r="Q861" s="284">
        <f t="shared" si="76"/>
        <v>64549</v>
      </c>
      <c r="R861" s="22">
        <f t="shared" si="76"/>
        <v>62216</v>
      </c>
      <c r="S861" s="219">
        <f t="shared" si="78"/>
        <v>96.385691490185749</v>
      </c>
    </row>
    <row r="862" spans="2:19" x14ac:dyDescent="0.2">
      <c r="B862" s="78">
        <f t="shared" si="79"/>
        <v>289</v>
      </c>
      <c r="C862" s="3"/>
      <c r="D862" s="3"/>
      <c r="E862" s="3"/>
      <c r="F862" s="25" t="s">
        <v>118</v>
      </c>
      <c r="G862" s="3">
        <v>631</v>
      </c>
      <c r="H862" s="3" t="s">
        <v>139</v>
      </c>
      <c r="I862" s="18">
        <f>101+399</f>
        <v>500</v>
      </c>
      <c r="J862" s="18">
        <v>450</v>
      </c>
      <c r="K862" s="218">
        <f t="shared" si="77"/>
        <v>90</v>
      </c>
      <c r="L862" s="279"/>
      <c r="M862" s="285"/>
      <c r="N862" s="18"/>
      <c r="O862" s="218"/>
      <c r="P862" s="279"/>
      <c r="Q862" s="285">
        <f t="shared" si="76"/>
        <v>500</v>
      </c>
      <c r="R862" s="18">
        <f t="shared" si="76"/>
        <v>450</v>
      </c>
      <c r="S862" s="219">
        <f t="shared" si="78"/>
        <v>90</v>
      </c>
    </row>
    <row r="863" spans="2:19" x14ac:dyDescent="0.2">
      <c r="B863" s="78">
        <f t="shared" si="79"/>
        <v>290</v>
      </c>
      <c r="C863" s="3"/>
      <c r="D863" s="3"/>
      <c r="E863" s="3"/>
      <c r="F863" s="25" t="s">
        <v>118</v>
      </c>
      <c r="G863" s="3">
        <v>632</v>
      </c>
      <c r="H863" s="3" t="s">
        <v>146</v>
      </c>
      <c r="I863" s="18">
        <f>21920+280-3000</f>
        <v>19200</v>
      </c>
      <c r="J863" s="18">
        <v>17216</v>
      </c>
      <c r="K863" s="218">
        <f t="shared" si="77"/>
        <v>89.666666666666657</v>
      </c>
      <c r="L863" s="279"/>
      <c r="M863" s="285"/>
      <c r="N863" s="18"/>
      <c r="O863" s="218"/>
      <c r="P863" s="279"/>
      <c r="Q863" s="285">
        <f t="shared" si="76"/>
        <v>19200</v>
      </c>
      <c r="R863" s="18">
        <f t="shared" si="76"/>
        <v>17216</v>
      </c>
      <c r="S863" s="219">
        <f t="shared" si="78"/>
        <v>89.666666666666657</v>
      </c>
    </row>
    <row r="864" spans="2:19" x14ac:dyDescent="0.2">
      <c r="B864" s="78">
        <f t="shared" si="79"/>
        <v>291</v>
      </c>
      <c r="C864" s="3"/>
      <c r="D864" s="3"/>
      <c r="E864" s="3"/>
      <c r="F864" s="25" t="s">
        <v>118</v>
      </c>
      <c r="G864" s="3">
        <v>633</v>
      </c>
      <c r="H864" s="3" t="s">
        <v>137</v>
      </c>
      <c r="I864" s="18">
        <f>10540+400+4500</f>
        <v>15440</v>
      </c>
      <c r="J864" s="18">
        <v>15364</v>
      </c>
      <c r="K864" s="218">
        <f t="shared" si="77"/>
        <v>99.507772020725398</v>
      </c>
      <c r="L864" s="279"/>
      <c r="M864" s="285"/>
      <c r="N864" s="18"/>
      <c r="O864" s="218"/>
      <c r="P864" s="279"/>
      <c r="Q864" s="285">
        <f t="shared" si="76"/>
        <v>15440</v>
      </c>
      <c r="R864" s="18">
        <f t="shared" si="76"/>
        <v>15364</v>
      </c>
      <c r="S864" s="219">
        <f t="shared" si="78"/>
        <v>99.507772020725398</v>
      </c>
    </row>
    <row r="865" spans="2:19" x14ac:dyDescent="0.2">
      <c r="B865" s="78">
        <f t="shared" si="79"/>
        <v>292</v>
      </c>
      <c r="C865" s="3"/>
      <c r="D865" s="3"/>
      <c r="E865" s="3"/>
      <c r="F865" s="25" t="s">
        <v>118</v>
      </c>
      <c r="G865" s="3">
        <v>635</v>
      </c>
      <c r="H865" s="3" t="s">
        <v>145</v>
      </c>
      <c r="I865" s="18">
        <f>1300+743</f>
        <v>2043</v>
      </c>
      <c r="J865" s="18">
        <v>2043</v>
      </c>
      <c r="K865" s="218">
        <f t="shared" si="77"/>
        <v>100</v>
      </c>
      <c r="L865" s="279"/>
      <c r="M865" s="285"/>
      <c r="N865" s="18"/>
      <c r="O865" s="218"/>
      <c r="P865" s="279"/>
      <c r="Q865" s="285">
        <f t="shared" si="76"/>
        <v>2043</v>
      </c>
      <c r="R865" s="18">
        <f t="shared" si="76"/>
        <v>2043</v>
      </c>
      <c r="S865" s="219">
        <f t="shared" si="78"/>
        <v>100</v>
      </c>
    </row>
    <row r="866" spans="2:19" x14ac:dyDescent="0.2">
      <c r="B866" s="78">
        <f t="shared" si="79"/>
        <v>293</v>
      </c>
      <c r="C866" s="3"/>
      <c r="D866" s="3"/>
      <c r="E866" s="3"/>
      <c r="F866" s="25" t="s">
        <v>118</v>
      </c>
      <c r="G866" s="3">
        <v>636</v>
      </c>
      <c r="H866" s="3" t="s">
        <v>138</v>
      </c>
      <c r="I866" s="18">
        <v>139</v>
      </c>
      <c r="J866" s="18">
        <v>113</v>
      </c>
      <c r="K866" s="218">
        <f t="shared" si="77"/>
        <v>81.294964028776988</v>
      </c>
      <c r="L866" s="279"/>
      <c r="M866" s="285"/>
      <c r="N866" s="18"/>
      <c r="O866" s="218"/>
      <c r="P866" s="279"/>
      <c r="Q866" s="285">
        <f t="shared" si="76"/>
        <v>139</v>
      </c>
      <c r="R866" s="18">
        <f t="shared" si="76"/>
        <v>113</v>
      </c>
      <c r="S866" s="219">
        <f t="shared" si="78"/>
        <v>81.294964028776988</v>
      </c>
    </row>
    <row r="867" spans="2:19" x14ac:dyDescent="0.2">
      <c r="B867" s="78">
        <f t="shared" si="79"/>
        <v>294</v>
      </c>
      <c r="C867" s="3"/>
      <c r="D867" s="3"/>
      <c r="E867" s="3"/>
      <c r="F867" s="25" t="s">
        <v>118</v>
      </c>
      <c r="G867" s="3">
        <v>637</v>
      </c>
      <c r="H867" s="3" t="s">
        <v>134</v>
      </c>
      <c r="I867" s="18">
        <f>21259+1329+166+3000+1473</f>
        <v>27227</v>
      </c>
      <c r="J867" s="18">
        <v>27030</v>
      </c>
      <c r="K867" s="218">
        <f t="shared" si="77"/>
        <v>99.276453520402541</v>
      </c>
      <c r="L867" s="279"/>
      <c r="M867" s="285"/>
      <c r="N867" s="18"/>
      <c r="O867" s="218"/>
      <c r="P867" s="279"/>
      <c r="Q867" s="285">
        <f t="shared" si="76"/>
        <v>27227</v>
      </c>
      <c r="R867" s="18">
        <f t="shared" si="76"/>
        <v>27030</v>
      </c>
      <c r="S867" s="219">
        <f t="shared" si="78"/>
        <v>99.276453520402541</v>
      </c>
    </row>
    <row r="868" spans="2:19" x14ac:dyDescent="0.2">
      <c r="B868" s="78">
        <f t="shared" si="79"/>
        <v>295</v>
      </c>
      <c r="C868" s="7"/>
      <c r="D868" s="7"/>
      <c r="E868" s="7"/>
      <c r="F868" s="24" t="s">
        <v>118</v>
      </c>
      <c r="G868" s="7">
        <v>640</v>
      </c>
      <c r="H868" s="7" t="s">
        <v>141</v>
      </c>
      <c r="I868" s="22">
        <f>3350+150+4100-950</f>
        <v>6650</v>
      </c>
      <c r="J868" s="22">
        <v>6650</v>
      </c>
      <c r="K868" s="218">
        <f t="shared" si="77"/>
        <v>100</v>
      </c>
      <c r="L868" s="278"/>
      <c r="M868" s="284"/>
      <c r="N868" s="22"/>
      <c r="O868" s="218"/>
      <c r="P868" s="278"/>
      <c r="Q868" s="284">
        <f t="shared" si="76"/>
        <v>6650</v>
      </c>
      <c r="R868" s="22">
        <f t="shared" si="76"/>
        <v>6650</v>
      </c>
      <c r="S868" s="219">
        <f t="shared" si="78"/>
        <v>100</v>
      </c>
    </row>
    <row r="869" spans="2:19" x14ac:dyDescent="0.2">
      <c r="B869" s="78">
        <f t="shared" si="79"/>
        <v>296</v>
      </c>
      <c r="C869" s="7"/>
      <c r="D869" s="7"/>
      <c r="E869" s="7"/>
      <c r="F869" s="24"/>
      <c r="G869" s="7">
        <v>630</v>
      </c>
      <c r="H869" s="7" t="s">
        <v>574</v>
      </c>
      <c r="I869" s="22">
        <v>5020</v>
      </c>
      <c r="J869" s="22">
        <v>5020</v>
      </c>
      <c r="K869" s="218">
        <f t="shared" si="77"/>
        <v>100</v>
      </c>
      <c r="L869" s="278"/>
      <c r="M869" s="284"/>
      <c r="N869" s="22"/>
      <c r="O869" s="218"/>
      <c r="P869" s="278"/>
      <c r="Q869" s="284">
        <f t="shared" si="76"/>
        <v>5020</v>
      </c>
      <c r="R869" s="22">
        <f t="shared" si="76"/>
        <v>5020</v>
      </c>
      <c r="S869" s="219">
        <f t="shared" si="78"/>
        <v>100</v>
      </c>
    </row>
    <row r="870" spans="2:19" x14ac:dyDescent="0.2">
      <c r="B870" s="78">
        <f t="shared" si="79"/>
        <v>297</v>
      </c>
      <c r="C870" s="7"/>
      <c r="D870" s="7"/>
      <c r="E870" s="7"/>
      <c r="F870" s="24" t="s">
        <v>83</v>
      </c>
      <c r="G870" s="7">
        <v>630</v>
      </c>
      <c r="H870" s="7" t="s">
        <v>647</v>
      </c>
      <c r="I870" s="22">
        <v>685</v>
      </c>
      <c r="J870" s="22">
        <v>662</v>
      </c>
      <c r="K870" s="218">
        <f t="shared" si="77"/>
        <v>96.642335766423358</v>
      </c>
      <c r="L870" s="278"/>
      <c r="M870" s="284"/>
      <c r="N870" s="22"/>
      <c r="O870" s="218"/>
      <c r="P870" s="278"/>
      <c r="Q870" s="284">
        <f t="shared" si="76"/>
        <v>685</v>
      </c>
      <c r="R870" s="22">
        <f t="shared" si="76"/>
        <v>662</v>
      </c>
      <c r="S870" s="219">
        <f t="shared" si="78"/>
        <v>96.642335766423358</v>
      </c>
    </row>
    <row r="871" spans="2:19" x14ac:dyDescent="0.2">
      <c r="B871" s="78">
        <f t="shared" si="79"/>
        <v>298</v>
      </c>
      <c r="C871" s="7"/>
      <c r="D871" s="7"/>
      <c r="E871" s="7"/>
      <c r="F871" s="24" t="s">
        <v>118</v>
      </c>
      <c r="G871" s="7">
        <v>710</v>
      </c>
      <c r="H871" s="7" t="s">
        <v>188</v>
      </c>
      <c r="I871" s="22"/>
      <c r="J871" s="22"/>
      <c r="K871" s="218"/>
      <c r="L871" s="278"/>
      <c r="M871" s="284">
        <f>M872</f>
        <v>384000</v>
      </c>
      <c r="N871" s="22">
        <f>N872</f>
        <v>380653</v>
      </c>
      <c r="O871" s="218">
        <f t="shared" si="80"/>
        <v>99.12838541666666</v>
      </c>
      <c r="P871" s="278"/>
      <c r="Q871" s="284">
        <f t="shared" si="76"/>
        <v>384000</v>
      </c>
      <c r="R871" s="22">
        <f t="shared" si="76"/>
        <v>380653</v>
      </c>
      <c r="S871" s="219">
        <f t="shared" si="78"/>
        <v>99.12838541666666</v>
      </c>
    </row>
    <row r="872" spans="2:19" x14ac:dyDescent="0.2">
      <c r="B872" s="78">
        <f t="shared" si="79"/>
        <v>299</v>
      </c>
      <c r="C872" s="3"/>
      <c r="D872" s="3"/>
      <c r="E872" s="3"/>
      <c r="F872" s="25" t="s">
        <v>118</v>
      </c>
      <c r="G872" s="3">
        <v>717</v>
      </c>
      <c r="H872" s="3" t="s">
        <v>198</v>
      </c>
      <c r="I872" s="18"/>
      <c r="J872" s="18"/>
      <c r="K872" s="218"/>
      <c r="L872" s="279"/>
      <c r="M872" s="297">
        <f>SUM(M873:M874)</f>
        <v>384000</v>
      </c>
      <c r="N872" s="60">
        <f>SUM(N873:N874)</f>
        <v>380653</v>
      </c>
      <c r="O872" s="218">
        <f t="shared" si="80"/>
        <v>99.12838541666666</v>
      </c>
      <c r="P872" s="279"/>
      <c r="Q872" s="285">
        <f t="shared" si="76"/>
        <v>384000</v>
      </c>
      <c r="R872" s="18">
        <f t="shared" si="76"/>
        <v>380653</v>
      </c>
      <c r="S872" s="219">
        <f t="shared" si="78"/>
        <v>99.12838541666666</v>
      </c>
    </row>
    <row r="873" spans="2:19" x14ac:dyDescent="0.2">
      <c r="B873" s="78">
        <f t="shared" si="79"/>
        <v>300</v>
      </c>
      <c r="C873" s="4"/>
      <c r="D873" s="4"/>
      <c r="E873" s="4"/>
      <c r="F873" s="26"/>
      <c r="G873" s="4"/>
      <c r="H873" s="4" t="s">
        <v>475</v>
      </c>
      <c r="I873" s="20"/>
      <c r="J873" s="20"/>
      <c r="K873" s="218"/>
      <c r="L873" s="280"/>
      <c r="M873" s="341">
        <f>370000+9000</f>
        <v>379000</v>
      </c>
      <c r="N873" s="38">
        <f>375653</f>
        <v>375653</v>
      </c>
      <c r="O873" s="218">
        <f t="shared" si="80"/>
        <v>99.116886543535614</v>
      </c>
      <c r="P873" s="280"/>
      <c r="Q873" s="286">
        <f t="shared" si="76"/>
        <v>379000</v>
      </c>
      <c r="R873" s="20">
        <f t="shared" si="76"/>
        <v>375653</v>
      </c>
      <c r="S873" s="219">
        <f t="shared" si="78"/>
        <v>99.116886543535614</v>
      </c>
    </row>
    <row r="874" spans="2:19" x14ac:dyDescent="0.2">
      <c r="B874" s="78">
        <f t="shared" si="79"/>
        <v>301</v>
      </c>
      <c r="C874" s="4"/>
      <c r="D874" s="4"/>
      <c r="E874" s="4"/>
      <c r="F874" s="26"/>
      <c r="G874" s="4"/>
      <c r="H874" s="4" t="s">
        <v>591</v>
      </c>
      <c r="I874" s="20"/>
      <c r="J874" s="20"/>
      <c r="K874" s="218"/>
      <c r="L874" s="280"/>
      <c r="M874" s="341">
        <v>5000</v>
      </c>
      <c r="N874" s="21">
        <v>5000</v>
      </c>
      <c r="O874" s="218">
        <f t="shared" si="80"/>
        <v>100</v>
      </c>
      <c r="P874" s="280"/>
      <c r="Q874" s="286">
        <f t="shared" si="76"/>
        <v>5000</v>
      </c>
      <c r="R874" s="20">
        <f t="shared" si="76"/>
        <v>5000</v>
      </c>
      <c r="S874" s="219">
        <f t="shared" si="78"/>
        <v>100</v>
      </c>
    </row>
    <row r="875" spans="2:19" ht="15" x14ac:dyDescent="0.25">
      <c r="B875" s="78">
        <f t="shared" si="79"/>
        <v>302</v>
      </c>
      <c r="C875" s="10"/>
      <c r="D875" s="10"/>
      <c r="E875" s="10">
        <v>10</v>
      </c>
      <c r="F875" s="27"/>
      <c r="G875" s="10"/>
      <c r="H875" s="10" t="s">
        <v>2</v>
      </c>
      <c r="I875" s="37">
        <f>I876+I877+I878+I886+I887+I888+I889+I896+I897+I898</f>
        <v>575106</v>
      </c>
      <c r="J875" s="37">
        <f>J876+J877+J878+J886+J887+J888+J889+J896+J897+J898</f>
        <v>551977</v>
      </c>
      <c r="K875" s="218">
        <f t="shared" si="77"/>
        <v>95.978306607825331</v>
      </c>
      <c r="L875" s="295"/>
      <c r="M875" s="299">
        <f>M899</f>
        <v>51950</v>
      </c>
      <c r="N875" s="37">
        <f>N899</f>
        <v>34644</v>
      </c>
      <c r="O875" s="218">
        <f t="shared" si="80"/>
        <v>66.687199230028867</v>
      </c>
      <c r="P875" s="295"/>
      <c r="Q875" s="299">
        <f t="shared" si="76"/>
        <v>627056</v>
      </c>
      <c r="R875" s="37">
        <f t="shared" si="76"/>
        <v>586621</v>
      </c>
      <c r="S875" s="219">
        <f t="shared" si="78"/>
        <v>93.551612615141238</v>
      </c>
    </row>
    <row r="876" spans="2:19" x14ac:dyDescent="0.2">
      <c r="B876" s="78">
        <f t="shared" si="79"/>
        <v>303</v>
      </c>
      <c r="C876" s="7"/>
      <c r="D876" s="7"/>
      <c r="E876" s="7"/>
      <c r="F876" s="24" t="s">
        <v>131</v>
      </c>
      <c r="G876" s="7">
        <v>610</v>
      </c>
      <c r="H876" s="7" t="s">
        <v>143</v>
      </c>
      <c r="I876" s="22">
        <f>126145+11681+4810+6017+998-1550+20560+6406</f>
        <v>175067</v>
      </c>
      <c r="J876" s="22">
        <v>165816</v>
      </c>
      <c r="K876" s="218">
        <f t="shared" si="77"/>
        <v>94.71573740339413</v>
      </c>
      <c r="L876" s="278"/>
      <c r="M876" s="284"/>
      <c r="N876" s="22"/>
      <c r="O876" s="218"/>
      <c r="P876" s="278"/>
      <c r="Q876" s="284">
        <f t="shared" ref="Q876:R954" si="81">I876+M876</f>
        <v>175067</v>
      </c>
      <c r="R876" s="22">
        <f t="shared" si="81"/>
        <v>165816</v>
      </c>
      <c r="S876" s="219">
        <f t="shared" si="78"/>
        <v>94.71573740339413</v>
      </c>
    </row>
    <row r="877" spans="2:19" x14ac:dyDescent="0.2">
      <c r="B877" s="78">
        <f t="shared" si="79"/>
        <v>304</v>
      </c>
      <c r="C877" s="7"/>
      <c r="D877" s="7"/>
      <c r="E877" s="7"/>
      <c r="F877" s="24" t="s">
        <v>131</v>
      </c>
      <c r="G877" s="7">
        <v>620</v>
      </c>
      <c r="H877" s="7" t="s">
        <v>136</v>
      </c>
      <c r="I877" s="22">
        <f>44200+4083+1690+2095+349-800+7832+2239</f>
        <v>61688</v>
      </c>
      <c r="J877" s="22">
        <v>58175</v>
      </c>
      <c r="K877" s="218">
        <f t="shared" si="77"/>
        <v>94.305213331604193</v>
      </c>
      <c r="L877" s="278"/>
      <c r="M877" s="284"/>
      <c r="N877" s="22"/>
      <c r="O877" s="218"/>
      <c r="P877" s="278"/>
      <c r="Q877" s="284">
        <f t="shared" si="81"/>
        <v>61688</v>
      </c>
      <c r="R877" s="22">
        <f t="shared" si="81"/>
        <v>58175</v>
      </c>
      <c r="S877" s="219">
        <f t="shared" si="78"/>
        <v>94.305213331604193</v>
      </c>
    </row>
    <row r="878" spans="2:19" x14ac:dyDescent="0.2">
      <c r="B878" s="78">
        <f t="shared" si="79"/>
        <v>305</v>
      </c>
      <c r="C878" s="7"/>
      <c r="D878" s="7"/>
      <c r="E878" s="7"/>
      <c r="F878" s="24" t="s">
        <v>131</v>
      </c>
      <c r="G878" s="7">
        <v>630</v>
      </c>
      <c r="H878" s="7" t="s">
        <v>133</v>
      </c>
      <c r="I878" s="22">
        <f>SUM(I879:I885)</f>
        <v>27835</v>
      </c>
      <c r="J878" s="22">
        <f>SUM(J879:J885)</f>
        <v>22662</v>
      </c>
      <c r="K878" s="218">
        <f t="shared" si="77"/>
        <v>81.415484102748337</v>
      </c>
      <c r="L878" s="278"/>
      <c r="M878" s="284"/>
      <c r="N878" s="22"/>
      <c r="O878" s="218"/>
      <c r="P878" s="278"/>
      <c r="Q878" s="284">
        <f t="shared" si="81"/>
        <v>27835</v>
      </c>
      <c r="R878" s="22">
        <f t="shared" si="81"/>
        <v>22662</v>
      </c>
      <c r="S878" s="219">
        <f t="shared" si="78"/>
        <v>81.415484102748337</v>
      </c>
    </row>
    <row r="879" spans="2:19" x14ac:dyDescent="0.2">
      <c r="B879" s="78">
        <f t="shared" si="79"/>
        <v>306</v>
      </c>
      <c r="C879" s="3"/>
      <c r="D879" s="3"/>
      <c r="E879" s="3"/>
      <c r="F879" s="25" t="s">
        <v>131</v>
      </c>
      <c r="G879" s="3">
        <v>631</v>
      </c>
      <c r="H879" s="3" t="s">
        <v>139</v>
      </c>
      <c r="I879" s="18">
        <f>305-200</f>
        <v>105</v>
      </c>
      <c r="J879" s="18">
        <v>96</v>
      </c>
      <c r="K879" s="218">
        <f t="shared" si="77"/>
        <v>91.428571428571431</v>
      </c>
      <c r="L879" s="279"/>
      <c r="M879" s="285"/>
      <c r="N879" s="18"/>
      <c r="O879" s="218"/>
      <c r="P879" s="279"/>
      <c r="Q879" s="285">
        <f t="shared" si="81"/>
        <v>105</v>
      </c>
      <c r="R879" s="18">
        <f t="shared" si="81"/>
        <v>96</v>
      </c>
      <c r="S879" s="219">
        <f t="shared" si="78"/>
        <v>91.428571428571431</v>
      </c>
    </row>
    <row r="880" spans="2:19" x14ac:dyDescent="0.2">
      <c r="B880" s="78">
        <f t="shared" si="79"/>
        <v>307</v>
      </c>
      <c r="C880" s="3"/>
      <c r="D880" s="3"/>
      <c r="E880" s="3"/>
      <c r="F880" s="25" t="s">
        <v>131</v>
      </c>
      <c r="G880" s="3">
        <v>632</v>
      </c>
      <c r="H880" s="3" t="s">
        <v>146</v>
      </c>
      <c r="I880" s="18">
        <f>11760-5000</f>
        <v>6760</v>
      </c>
      <c r="J880" s="18">
        <v>6760</v>
      </c>
      <c r="K880" s="218">
        <f t="shared" si="77"/>
        <v>100</v>
      </c>
      <c r="L880" s="279"/>
      <c r="M880" s="285"/>
      <c r="N880" s="18"/>
      <c r="O880" s="218"/>
      <c r="P880" s="279"/>
      <c r="Q880" s="285">
        <f t="shared" si="81"/>
        <v>6760</v>
      </c>
      <c r="R880" s="18">
        <f t="shared" si="81"/>
        <v>6760</v>
      </c>
      <c r="S880" s="219">
        <f t="shared" si="78"/>
        <v>100</v>
      </c>
    </row>
    <row r="881" spans="2:19" x14ac:dyDescent="0.2">
      <c r="B881" s="78">
        <f t="shared" si="79"/>
        <v>308</v>
      </c>
      <c r="C881" s="3"/>
      <c r="D881" s="3"/>
      <c r="E881" s="3"/>
      <c r="F881" s="25" t="s">
        <v>131</v>
      </c>
      <c r="G881" s="3">
        <v>633</v>
      </c>
      <c r="H881" s="3" t="s">
        <v>137</v>
      </c>
      <c r="I881" s="18">
        <f>5540+321+242</f>
        <v>6103</v>
      </c>
      <c r="J881" s="18">
        <v>4326</v>
      </c>
      <c r="K881" s="218">
        <f t="shared" si="77"/>
        <v>70.883172210388338</v>
      </c>
      <c r="L881" s="279"/>
      <c r="M881" s="285"/>
      <c r="N881" s="18"/>
      <c r="O881" s="218"/>
      <c r="P881" s="279"/>
      <c r="Q881" s="285">
        <f t="shared" si="81"/>
        <v>6103</v>
      </c>
      <c r="R881" s="18">
        <f t="shared" si="81"/>
        <v>4326</v>
      </c>
      <c r="S881" s="219">
        <f t="shared" si="78"/>
        <v>70.883172210388338</v>
      </c>
    </row>
    <row r="882" spans="2:19" x14ac:dyDescent="0.2">
      <c r="B882" s="78">
        <f t="shared" si="79"/>
        <v>309</v>
      </c>
      <c r="C882" s="3"/>
      <c r="D882" s="3"/>
      <c r="E882" s="3"/>
      <c r="F882" s="25" t="s">
        <v>131</v>
      </c>
      <c r="G882" s="3">
        <v>634</v>
      </c>
      <c r="H882" s="3" t="s">
        <v>144</v>
      </c>
      <c r="I882" s="18">
        <v>1000</v>
      </c>
      <c r="J882" s="18">
        <v>600</v>
      </c>
      <c r="K882" s="218">
        <f t="shared" si="77"/>
        <v>60</v>
      </c>
      <c r="L882" s="279"/>
      <c r="M882" s="285"/>
      <c r="N882" s="18"/>
      <c r="O882" s="218"/>
      <c r="P882" s="279"/>
      <c r="Q882" s="285">
        <f t="shared" si="81"/>
        <v>1000</v>
      </c>
      <c r="R882" s="18">
        <f t="shared" si="81"/>
        <v>600</v>
      </c>
      <c r="S882" s="219">
        <f t="shared" si="78"/>
        <v>60</v>
      </c>
    </row>
    <row r="883" spans="2:19" x14ac:dyDescent="0.2">
      <c r="B883" s="78">
        <f t="shared" si="79"/>
        <v>310</v>
      </c>
      <c r="C883" s="3"/>
      <c r="D883" s="3"/>
      <c r="E883" s="3"/>
      <c r="F883" s="25" t="s">
        <v>131</v>
      </c>
      <c r="G883" s="3">
        <v>635</v>
      </c>
      <c r="H883" s="3" t="s">
        <v>145</v>
      </c>
      <c r="I883" s="18">
        <f>2080+720</f>
        <v>2800</v>
      </c>
      <c r="J883" s="18">
        <v>98</v>
      </c>
      <c r="K883" s="218">
        <f t="shared" si="77"/>
        <v>3.5000000000000004</v>
      </c>
      <c r="L883" s="279"/>
      <c r="M883" s="285"/>
      <c r="N883" s="18"/>
      <c r="O883" s="218"/>
      <c r="P883" s="279"/>
      <c r="Q883" s="285">
        <f t="shared" si="81"/>
        <v>2800</v>
      </c>
      <c r="R883" s="18">
        <f t="shared" si="81"/>
        <v>98</v>
      </c>
      <c r="S883" s="219">
        <f t="shared" si="78"/>
        <v>3.5000000000000004</v>
      </c>
    </row>
    <row r="884" spans="2:19" x14ac:dyDescent="0.2">
      <c r="B884" s="78">
        <f t="shared" si="79"/>
        <v>311</v>
      </c>
      <c r="C884" s="3"/>
      <c r="D884" s="3"/>
      <c r="E884" s="3"/>
      <c r="F884" s="25" t="s">
        <v>131</v>
      </c>
      <c r="G884" s="3">
        <v>636</v>
      </c>
      <c r="H884" s="3" t="s">
        <v>138</v>
      </c>
      <c r="I884" s="18">
        <v>13</v>
      </c>
      <c r="J884" s="18">
        <v>13</v>
      </c>
      <c r="K884" s="218">
        <f t="shared" si="77"/>
        <v>100</v>
      </c>
      <c r="L884" s="279"/>
      <c r="M884" s="285"/>
      <c r="N884" s="18"/>
      <c r="O884" s="218"/>
      <c r="P884" s="279"/>
      <c r="Q884" s="285">
        <f t="shared" si="81"/>
        <v>13</v>
      </c>
      <c r="R884" s="18">
        <f t="shared" si="81"/>
        <v>13</v>
      </c>
      <c r="S884" s="219">
        <f t="shared" si="78"/>
        <v>100</v>
      </c>
    </row>
    <row r="885" spans="2:19" x14ac:dyDescent="0.2">
      <c r="B885" s="78">
        <f t="shared" si="79"/>
        <v>312</v>
      </c>
      <c r="C885" s="3"/>
      <c r="D885" s="3"/>
      <c r="E885" s="3"/>
      <c r="F885" s="25" t="s">
        <v>131</v>
      </c>
      <c r="G885" s="3">
        <v>637</v>
      </c>
      <c r="H885" s="3" t="s">
        <v>134</v>
      </c>
      <c r="I885" s="18">
        <f>9280+1774</f>
        <v>11054</v>
      </c>
      <c r="J885" s="18">
        <v>10769</v>
      </c>
      <c r="K885" s="218">
        <f t="shared" si="77"/>
        <v>97.421747783607742</v>
      </c>
      <c r="L885" s="279"/>
      <c r="M885" s="285"/>
      <c r="N885" s="18"/>
      <c r="O885" s="218"/>
      <c r="P885" s="279"/>
      <c r="Q885" s="285">
        <f t="shared" si="81"/>
        <v>11054</v>
      </c>
      <c r="R885" s="18">
        <f t="shared" si="81"/>
        <v>10769</v>
      </c>
      <c r="S885" s="219">
        <f t="shared" si="78"/>
        <v>97.421747783607742</v>
      </c>
    </row>
    <row r="886" spans="2:19" x14ac:dyDescent="0.2">
      <c r="B886" s="78">
        <f t="shared" si="79"/>
        <v>313</v>
      </c>
      <c r="C886" s="7"/>
      <c r="D886" s="7"/>
      <c r="E886" s="7"/>
      <c r="F886" s="24" t="s">
        <v>131</v>
      </c>
      <c r="G886" s="7">
        <v>640</v>
      </c>
      <c r="H886" s="7" t="s">
        <v>141</v>
      </c>
      <c r="I886" s="22">
        <f>315-65+618</f>
        <v>868</v>
      </c>
      <c r="J886" s="22">
        <v>868</v>
      </c>
      <c r="K886" s="218">
        <f t="shared" si="77"/>
        <v>100</v>
      </c>
      <c r="L886" s="278"/>
      <c r="M886" s="284"/>
      <c r="N886" s="22"/>
      <c r="O886" s="218"/>
      <c r="P886" s="278"/>
      <c r="Q886" s="284">
        <f t="shared" si="81"/>
        <v>868</v>
      </c>
      <c r="R886" s="22">
        <f t="shared" si="81"/>
        <v>868</v>
      </c>
      <c r="S886" s="219">
        <f t="shared" si="78"/>
        <v>100</v>
      </c>
    </row>
    <row r="887" spans="2:19" x14ac:dyDescent="0.2">
      <c r="B887" s="78">
        <f t="shared" si="79"/>
        <v>314</v>
      </c>
      <c r="C887" s="7"/>
      <c r="D887" s="7"/>
      <c r="E887" s="7"/>
      <c r="F887" s="24" t="s">
        <v>118</v>
      </c>
      <c r="G887" s="7">
        <v>610</v>
      </c>
      <c r="H887" s="7" t="s">
        <v>143</v>
      </c>
      <c r="I887" s="22">
        <f>126145+11681+6018+11681-1280</f>
        <v>154245</v>
      </c>
      <c r="J887" s="22">
        <v>154245</v>
      </c>
      <c r="K887" s="218">
        <f t="shared" si="77"/>
        <v>100</v>
      </c>
      <c r="L887" s="278"/>
      <c r="M887" s="284"/>
      <c r="N887" s="22"/>
      <c r="O887" s="218"/>
      <c r="P887" s="278"/>
      <c r="Q887" s="284">
        <f t="shared" si="81"/>
        <v>154245</v>
      </c>
      <c r="R887" s="22">
        <f t="shared" si="81"/>
        <v>154245</v>
      </c>
      <c r="S887" s="219">
        <f t="shared" si="78"/>
        <v>100</v>
      </c>
    </row>
    <row r="888" spans="2:19" x14ac:dyDescent="0.2">
      <c r="B888" s="78">
        <f t="shared" si="79"/>
        <v>315</v>
      </c>
      <c r="C888" s="7"/>
      <c r="D888" s="7"/>
      <c r="E888" s="7"/>
      <c r="F888" s="24" t="s">
        <v>118</v>
      </c>
      <c r="G888" s="7">
        <v>620</v>
      </c>
      <c r="H888" s="7" t="s">
        <v>136</v>
      </c>
      <c r="I888" s="22">
        <f>44200+4083+2096+4083-339</f>
        <v>54123</v>
      </c>
      <c r="J888" s="22">
        <v>54123</v>
      </c>
      <c r="K888" s="218">
        <f t="shared" si="77"/>
        <v>100</v>
      </c>
      <c r="L888" s="278"/>
      <c r="M888" s="284"/>
      <c r="N888" s="22"/>
      <c r="O888" s="218"/>
      <c r="P888" s="278"/>
      <c r="Q888" s="284">
        <f t="shared" si="81"/>
        <v>54123</v>
      </c>
      <c r="R888" s="22">
        <f t="shared" si="81"/>
        <v>54123</v>
      </c>
      <c r="S888" s="219">
        <f t="shared" si="78"/>
        <v>100</v>
      </c>
    </row>
    <row r="889" spans="2:19" x14ac:dyDescent="0.2">
      <c r="B889" s="78">
        <f t="shared" si="79"/>
        <v>316</v>
      </c>
      <c r="C889" s="7"/>
      <c r="D889" s="7"/>
      <c r="E889" s="7"/>
      <c r="F889" s="24" t="s">
        <v>118</v>
      </c>
      <c r="G889" s="7">
        <v>630</v>
      </c>
      <c r="H889" s="7" t="s">
        <v>133</v>
      </c>
      <c r="I889" s="22">
        <f>SUM(I890:I895)</f>
        <v>76490</v>
      </c>
      <c r="J889" s="22">
        <f>SUM(J890:J895)</f>
        <v>71298</v>
      </c>
      <c r="K889" s="218">
        <f t="shared" si="77"/>
        <v>93.212184599294019</v>
      </c>
      <c r="L889" s="278"/>
      <c r="M889" s="284"/>
      <c r="N889" s="22"/>
      <c r="O889" s="218"/>
      <c r="P889" s="278"/>
      <c r="Q889" s="284">
        <f t="shared" si="81"/>
        <v>76490</v>
      </c>
      <c r="R889" s="22">
        <f t="shared" si="81"/>
        <v>71298</v>
      </c>
      <c r="S889" s="219">
        <f t="shared" si="78"/>
        <v>93.212184599294019</v>
      </c>
    </row>
    <row r="890" spans="2:19" x14ac:dyDescent="0.2">
      <c r="B890" s="78">
        <f t="shared" si="79"/>
        <v>317</v>
      </c>
      <c r="C890" s="3"/>
      <c r="D890" s="3"/>
      <c r="E890" s="3"/>
      <c r="F890" s="25" t="s">
        <v>118</v>
      </c>
      <c r="G890" s="3">
        <v>631</v>
      </c>
      <c r="H890" s="3" t="s">
        <v>139</v>
      </c>
      <c r="I890" s="18">
        <f>305-200</f>
        <v>105</v>
      </c>
      <c r="J890" s="18">
        <v>96</v>
      </c>
      <c r="K890" s="218">
        <f t="shared" si="77"/>
        <v>91.428571428571431</v>
      </c>
      <c r="L890" s="279"/>
      <c r="M890" s="285"/>
      <c r="N890" s="18"/>
      <c r="O890" s="218"/>
      <c r="P890" s="279"/>
      <c r="Q890" s="285">
        <f t="shared" si="81"/>
        <v>105</v>
      </c>
      <c r="R890" s="18">
        <f t="shared" si="81"/>
        <v>96</v>
      </c>
      <c r="S890" s="219">
        <f t="shared" si="78"/>
        <v>91.428571428571431</v>
      </c>
    </row>
    <row r="891" spans="2:19" x14ac:dyDescent="0.2">
      <c r="B891" s="78">
        <f t="shared" si="79"/>
        <v>318</v>
      </c>
      <c r="C891" s="3"/>
      <c r="D891" s="3"/>
      <c r="E891" s="3"/>
      <c r="F891" s="25" t="s">
        <v>118</v>
      </c>
      <c r="G891" s="3">
        <v>632</v>
      </c>
      <c r="H891" s="3" t="s">
        <v>146</v>
      </c>
      <c r="I891" s="18">
        <f>57880-15000-4953</f>
        <v>37927</v>
      </c>
      <c r="J891" s="18">
        <v>37927</v>
      </c>
      <c r="K891" s="218">
        <f t="shared" ref="K891:K954" si="82">J891/I891*100</f>
        <v>100</v>
      </c>
      <c r="L891" s="279"/>
      <c r="M891" s="285"/>
      <c r="N891" s="18"/>
      <c r="O891" s="218"/>
      <c r="P891" s="279"/>
      <c r="Q891" s="285">
        <f t="shared" si="81"/>
        <v>37927</v>
      </c>
      <c r="R891" s="18">
        <f t="shared" si="81"/>
        <v>37927</v>
      </c>
      <c r="S891" s="219">
        <f t="shared" si="78"/>
        <v>100</v>
      </c>
    </row>
    <row r="892" spans="2:19" x14ac:dyDescent="0.2">
      <c r="B892" s="78">
        <f t="shared" si="79"/>
        <v>319</v>
      </c>
      <c r="C892" s="3"/>
      <c r="D892" s="3"/>
      <c r="E892" s="3"/>
      <c r="F892" s="25" t="s">
        <v>118</v>
      </c>
      <c r="G892" s="3">
        <v>633</v>
      </c>
      <c r="H892" s="3" t="s">
        <v>137</v>
      </c>
      <c r="I892" s="18">
        <f>14036+321-1790</f>
        <v>12567</v>
      </c>
      <c r="J892" s="18">
        <v>10472</v>
      </c>
      <c r="K892" s="218">
        <f t="shared" si="82"/>
        <v>83.329354659027615</v>
      </c>
      <c r="L892" s="279"/>
      <c r="M892" s="285"/>
      <c r="N892" s="18"/>
      <c r="O892" s="218"/>
      <c r="P892" s="279"/>
      <c r="Q892" s="285">
        <f t="shared" si="81"/>
        <v>12567</v>
      </c>
      <c r="R892" s="18">
        <f t="shared" si="81"/>
        <v>10472</v>
      </c>
      <c r="S892" s="219">
        <f t="shared" si="78"/>
        <v>83.329354659027615</v>
      </c>
    </row>
    <row r="893" spans="2:19" x14ac:dyDescent="0.2">
      <c r="B893" s="78">
        <f t="shared" si="79"/>
        <v>320</v>
      </c>
      <c r="C893" s="3"/>
      <c r="D893" s="3"/>
      <c r="E893" s="3"/>
      <c r="F893" s="25" t="s">
        <v>118</v>
      </c>
      <c r="G893" s="3">
        <v>635</v>
      </c>
      <c r="H893" s="3" t="s">
        <v>145</v>
      </c>
      <c r="I893" s="18">
        <f>3780+720</f>
        <v>4500</v>
      </c>
      <c r="J893" s="18">
        <v>1798</v>
      </c>
      <c r="K893" s="218">
        <f t="shared" si="82"/>
        <v>39.955555555555556</v>
      </c>
      <c r="L893" s="279"/>
      <c r="M893" s="285"/>
      <c r="N893" s="18"/>
      <c r="O893" s="218"/>
      <c r="P893" s="279"/>
      <c r="Q893" s="285">
        <f t="shared" si="81"/>
        <v>4500</v>
      </c>
      <c r="R893" s="18">
        <f t="shared" si="81"/>
        <v>1798</v>
      </c>
      <c r="S893" s="219">
        <f t="shared" si="78"/>
        <v>39.955555555555556</v>
      </c>
    </row>
    <row r="894" spans="2:19" x14ac:dyDescent="0.2">
      <c r="B894" s="78">
        <f t="shared" si="79"/>
        <v>321</v>
      </c>
      <c r="C894" s="3"/>
      <c r="D894" s="3"/>
      <c r="E894" s="3"/>
      <c r="F894" s="25" t="s">
        <v>118</v>
      </c>
      <c r="G894" s="3">
        <v>636</v>
      </c>
      <c r="H894" s="3" t="s">
        <v>138</v>
      </c>
      <c r="I894" s="18">
        <v>13</v>
      </c>
      <c r="J894" s="18">
        <v>13</v>
      </c>
      <c r="K894" s="218">
        <f t="shared" si="82"/>
        <v>100</v>
      </c>
      <c r="L894" s="279"/>
      <c r="M894" s="285"/>
      <c r="N894" s="18"/>
      <c r="O894" s="218"/>
      <c r="P894" s="279"/>
      <c r="Q894" s="285">
        <f t="shared" si="81"/>
        <v>13</v>
      </c>
      <c r="R894" s="18">
        <f t="shared" si="81"/>
        <v>13</v>
      </c>
      <c r="S894" s="219">
        <f t="shared" ref="S894:S957" si="83">R894/Q894*100</f>
        <v>100</v>
      </c>
    </row>
    <row r="895" spans="2:19" x14ac:dyDescent="0.2">
      <c r="B895" s="78">
        <f t="shared" si="79"/>
        <v>322</v>
      </c>
      <c r="C895" s="3"/>
      <c r="D895" s="3"/>
      <c r="E895" s="3"/>
      <c r="F895" s="25" t="s">
        <v>118</v>
      </c>
      <c r="G895" s="3">
        <v>637</v>
      </c>
      <c r="H895" s="3" t="s">
        <v>134</v>
      </c>
      <c r="I895" s="18">
        <f>11830+9548</f>
        <v>21378</v>
      </c>
      <c r="J895" s="18">
        <v>20992</v>
      </c>
      <c r="K895" s="218">
        <f t="shared" si="82"/>
        <v>98.19440546356067</v>
      </c>
      <c r="L895" s="279"/>
      <c r="M895" s="285"/>
      <c r="N895" s="18"/>
      <c r="O895" s="218"/>
      <c r="P895" s="279"/>
      <c r="Q895" s="285">
        <f t="shared" si="81"/>
        <v>21378</v>
      </c>
      <c r="R895" s="18">
        <f t="shared" si="81"/>
        <v>20992</v>
      </c>
      <c r="S895" s="219">
        <f t="shared" si="83"/>
        <v>98.19440546356067</v>
      </c>
    </row>
    <row r="896" spans="2:19" x14ac:dyDescent="0.2">
      <c r="B896" s="78">
        <f t="shared" si="79"/>
        <v>323</v>
      </c>
      <c r="C896" s="7"/>
      <c r="D896" s="7"/>
      <c r="E896" s="7"/>
      <c r="F896" s="24" t="s">
        <v>118</v>
      </c>
      <c r="G896" s="7">
        <v>640</v>
      </c>
      <c r="H896" s="7" t="s">
        <v>141</v>
      </c>
      <c r="I896" s="22">
        <f>315-65+147</f>
        <v>397</v>
      </c>
      <c r="J896" s="22">
        <v>397</v>
      </c>
      <c r="K896" s="218">
        <f t="shared" si="82"/>
        <v>100</v>
      </c>
      <c r="L896" s="278"/>
      <c r="M896" s="284"/>
      <c r="N896" s="22"/>
      <c r="O896" s="218"/>
      <c r="P896" s="278"/>
      <c r="Q896" s="284">
        <f t="shared" si="81"/>
        <v>397</v>
      </c>
      <c r="R896" s="22">
        <f t="shared" si="81"/>
        <v>397</v>
      </c>
      <c r="S896" s="219">
        <f t="shared" si="83"/>
        <v>100</v>
      </c>
    </row>
    <row r="897" spans="2:19" x14ac:dyDescent="0.2">
      <c r="B897" s="78">
        <f t="shared" ref="B897:B960" si="84">B896+1</f>
        <v>324</v>
      </c>
      <c r="C897" s="7"/>
      <c r="D897" s="7"/>
      <c r="E897" s="7"/>
      <c r="F897" s="24"/>
      <c r="G897" s="7">
        <v>600</v>
      </c>
      <c r="H897" s="7" t="s">
        <v>574</v>
      </c>
      <c r="I897" s="22">
        <v>24304</v>
      </c>
      <c r="J897" s="22">
        <v>24304</v>
      </c>
      <c r="K897" s="218">
        <f t="shared" si="82"/>
        <v>100</v>
      </c>
      <c r="L897" s="278"/>
      <c r="M897" s="284"/>
      <c r="N897" s="22"/>
      <c r="O897" s="218"/>
      <c r="P897" s="278"/>
      <c r="Q897" s="284">
        <f t="shared" si="81"/>
        <v>24304</v>
      </c>
      <c r="R897" s="22">
        <f t="shared" si="81"/>
        <v>24304</v>
      </c>
      <c r="S897" s="219">
        <f t="shared" si="83"/>
        <v>100</v>
      </c>
    </row>
    <row r="898" spans="2:19" x14ac:dyDescent="0.2">
      <c r="B898" s="78">
        <f t="shared" si="84"/>
        <v>325</v>
      </c>
      <c r="C898" s="7"/>
      <c r="D898" s="7"/>
      <c r="E898" s="7"/>
      <c r="F898" s="24" t="s">
        <v>83</v>
      </c>
      <c r="G898" s="7">
        <v>630</v>
      </c>
      <c r="H898" s="7" t="s">
        <v>647</v>
      </c>
      <c r="I898" s="22">
        <v>89</v>
      </c>
      <c r="J898" s="22">
        <v>89</v>
      </c>
      <c r="K898" s="218">
        <f t="shared" si="82"/>
        <v>100</v>
      </c>
      <c r="L898" s="278"/>
      <c r="M898" s="284"/>
      <c r="N898" s="22"/>
      <c r="O898" s="218"/>
      <c r="P898" s="278"/>
      <c r="Q898" s="284">
        <f t="shared" si="81"/>
        <v>89</v>
      </c>
      <c r="R898" s="22">
        <f t="shared" si="81"/>
        <v>89</v>
      </c>
      <c r="S898" s="219">
        <f t="shared" si="83"/>
        <v>100</v>
      </c>
    </row>
    <row r="899" spans="2:19" x14ac:dyDescent="0.2">
      <c r="B899" s="78">
        <f t="shared" si="84"/>
        <v>326</v>
      </c>
      <c r="C899" s="7"/>
      <c r="D899" s="7"/>
      <c r="E899" s="7"/>
      <c r="F899" s="24" t="s">
        <v>118</v>
      </c>
      <c r="G899" s="7">
        <v>710</v>
      </c>
      <c r="H899" s="7" t="s">
        <v>188</v>
      </c>
      <c r="I899" s="22"/>
      <c r="J899" s="22"/>
      <c r="K899" s="218"/>
      <c r="L899" s="278"/>
      <c r="M899" s="284">
        <f>M900</f>
        <v>51950</v>
      </c>
      <c r="N899" s="22">
        <f>N900</f>
        <v>34644</v>
      </c>
      <c r="O899" s="218">
        <f t="shared" ref="O899:O901" si="85">N899/M899*100</f>
        <v>66.687199230028867</v>
      </c>
      <c r="P899" s="278"/>
      <c r="Q899" s="284">
        <f t="shared" si="81"/>
        <v>51950</v>
      </c>
      <c r="R899" s="22">
        <f t="shared" si="81"/>
        <v>34644</v>
      </c>
      <c r="S899" s="219">
        <f t="shared" si="83"/>
        <v>66.687199230028867</v>
      </c>
    </row>
    <row r="900" spans="2:19" x14ac:dyDescent="0.2">
      <c r="B900" s="78">
        <f t="shared" si="84"/>
        <v>327</v>
      </c>
      <c r="C900" s="3"/>
      <c r="D900" s="3"/>
      <c r="E900" s="3"/>
      <c r="F900" s="25" t="s">
        <v>118</v>
      </c>
      <c r="G900" s="3">
        <v>717</v>
      </c>
      <c r="H900" s="3" t="s">
        <v>198</v>
      </c>
      <c r="I900" s="18"/>
      <c r="J900" s="18"/>
      <c r="K900" s="218"/>
      <c r="L900" s="279"/>
      <c r="M900" s="285">
        <f>SUM(M901:M901)</f>
        <v>51950</v>
      </c>
      <c r="N900" s="18">
        <f>SUM(N901:N901)</f>
        <v>34644</v>
      </c>
      <c r="O900" s="218">
        <f t="shared" si="85"/>
        <v>66.687199230028867</v>
      </c>
      <c r="P900" s="279"/>
      <c r="Q900" s="285">
        <f t="shared" si="81"/>
        <v>51950</v>
      </c>
      <c r="R900" s="18">
        <f t="shared" si="81"/>
        <v>34644</v>
      </c>
      <c r="S900" s="219">
        <f t="shared" si="83"/>
        <v>66.687199230028867</v>
      </c>
    </row>
    <row r="901" spans="2:19" x14ac:dyDescent="0.2">
      <c r="B901" s="78">
        <f t="shared" si="84"/>
        <v>328</v>
      </c>
      <c r="C901" s="4"/>
      <c r="D901" s="4"/>
      <c r="E901" s="4"/>
      <c r="F901" s="26"/>
      <c r="G901" s="4"/>
      <c r="H901" s="4" t="s">
        <v>329</v>
      </c>
      <c r="I901" s="20"/>
      <c r="J901" s="20"/>
      <c r="K901" s="218"/>
      <c r="L901" s="280"/>
      <c r="M901" s="341">
        <f>60000-7000-1050</f>
        <v>51950</v>
      </c>
      <c r="N901" s="38">
        <f>2324+32320</f>
        <v>34644</v>
      </c>
      <c r="O901" s="218">
        <f t="shared" si="85"/>
        <v>66.687199230028867</v>
      </c>
      <c r="P901" s="280"/>
      <c r="Q901" s="286">
        <f t="shared" si="81"/>
        <v>51950</v>
      </c>
      <c r="R901" s="20">
        <f t="shared" si="81"/>
        <v>34644</v>
      </c>
      <c r="S901" s="219">
        <f t="shared" si="83"/>
        <v>66.687199230028867</v>
      </c>
    </row>
    <row r="902" spans="2:19" ht="15" x14ac:dyDescent="0.25">
      <c r="B902" s="78">
        <f t="shared" si="84"/>
        <v>329</v>
      </c>
      <c r="C902" s="10"/>
      <c r="D902" s="10"/>
      <c r="E902" s="10">
        <v>11</v>
      </c>
      <c r="F902" s="27"/>
      <c r="G902" s="10"/>
      <c r="H902" s="10" t="s">
        <v>11</v>
      </c>
      <c r="I902" s="37">
        <f>I903+I904+I905+I914+I915+I916+I917+I924+I925+I926</f>
        <v>1414518</v>
      </c>
      <c r="J902" s="37">
        <f>J903+J904+J905+J914+J915+J916+J917+J924+J925+J926</f>
        <v>1395514</v>
      </c>
      <c r="K902" s="218">
        <f t="shared" si="82"/>
        <v>98.656503487407022</v>
      </c>
      <c r="L902" s="295"/>
      <c r="M902" s="299">
        <v>0</v>
      </c>
      <c r="N902" s="37">
        <v>0</v>
      </c>
      <c r="O902" s="218"/>
      <c r="P902" s="295"/>
      <c r="Q902" s="299">
        <f t="shared" si="81"/>
        <v>1414518</v>
      </c>
      <c r="R902" s="37">
        <f t="shared" si="81"/>
        <v>1395514</v>
      </c>
      <c r="S902" s="219">
        <f t="shared" si="83"/>
        <v>98.656503487407022</v>
      </c>
    </row>
    <row r="903" spans="2:19" x14ac:dyDescent="0.2">
      <c r="B903" s="78">
        <f t="shared" si="84"/>
        <v>330</v>
      </c>
      <c r="C903" s="7"/>
      <c r="D903" s="7"/>
      <c r="E903" s="7"/>
      <c r="F903" s="24" t="s">
        <v>131</v>
      </c>
      <c r="G903" s="7">
        <v>610</v>
      </c>
      <c r="H903" s="7" t="s">
        <v>143</v>
      </c>
      <c r="I903" s="22">
        <f>275039+21295-5012-21295+9762+34560+2435</f>
        <v>316784</v>
      </c>
      <c r="J903" s="22">
        <v>315700</v>
      </c>
      <c r="K903" s="218">
        <f t="shared" si="82"/>
        <v>99.657811000555583</v>
      </c>
      <c r="L903" s="278"/>
      <c r="M903" s="284"/>
      <c r="N903" s="22"/>
      <c r="O903" s="218"/>
      <c r="P903" s="278"/>
      <c r="Q903" s="284">
        <f t="shared" si="81"/>
        <v>316784</v>
      </c>
      <c r="R903" s="22">
        <f t="shared" si="81"/>
        <v>315700</v>
      </c>
      <c r="S903" s="219">
        <f t="shared" si="83"/>
        <v>99.657811000555583</v>
      </c>
    </row>
    <row r="904" spans="2:19" x14ac:dyDescent="0.2">
      <c r="B904" s="78">
        <f t="shared" si="84"/>
        <v>331</v>
      </c>
      <c r="C904" s="7"/>
      <c r="D904" s="7"/>
      <c r="E904" s="7"/>
      <c r="F904" s="24" t="s">
        <v>131</v>
      </c>
      <c r="G904" s="7">
        <v>620</v>
      </c>
      <c r="H904" s="7" t="s">
        <v>136</v>
      </c>
      <c r="I904" s="22">
        <f>96254+8081-1755-8081+3416+12095+852</f>
        <v>110862</v>
      </c>
      <c r="J904" s="22">
        <v>107872</v>
      </c>
      <c r="K904" s="218">
        <f t="shared" si="82"/>
        <v>97.302953221121754</v>
      </c>
      <c r="L904" s="278"/>
      <c r="M904" s="284"/>
      <c r="N904" s="22"/>
      <c r="O904" s="218"/>
      <c r="P904" s="278"/>
      <c r="Q904" s="284">
        <f t="shared" si="81"/>
        <v>110862</v>
      </c>
      <c r="R904" s="22">
        <f t="shared" si="81"/>
        <v>107872</v>
      </c>
      <c r="S904" s="219">
        <f t="shared" si="83"/>
        <v>97.302953221121754</v>
      </c>
    </row>
    <row r="905" spans="2:19" x14ac:dyDescent="0.2">
      <c r="B905" s="78">
        <f t="shared" si="84"/>
        <v>332</v>
      </c>
      <c r="C905" s="7"/>
      <c r="D905" s="7"/>
      <c r="E905" s="7"/>
      <c r="F905" s="24" t="s">
        <v>131</v>
      </c>
      <c r="G905" s="7">
        <v>630</v>
      </c>
      <c r="H905" s="7" t="s">
        <v>133</v>
      </c>
      <c r="I905" s="22">
        <f>SUM(I906:I913)</f>
        <v>101467</v>
      </c>
      <c r="J905" s="22">
        <f>SUM(J906:J913)</f>
        <v>94410</v>
      </c>
      <c r="K905" s="218">
        <f t="shared" si="82"/>
        <v>93.045029418431611</v>
      </c>
      <c r="L905" s="278"/>
      <c r="M905" s="284"/>
      <c r="N905" s="22"/>
      <c r="O905" s="218"/>
      <c r="P905" s="278"/>
      <c r="Q905" s="284">
        <f t="shared" si="81"/>
        <v>101467</v>
      </c>
      <c r="R905" s="22">
        <f t="shared" si="81"/>
        <v>94410</v>
      </c>
      <c r="S905" s="219">
        <f t="shared" si="83"/>
        <v>93.045029418431611</v>
      </c>
    </row>
    <row r="906" spans="2:19" x14ac:dyDescent="0.2">
      <c r="B906" s="78">
        <f t="shared" si="84"/>
        <v>333</v>
      </c>
      <c r="C906" s="3"/>
      <c r="D906" s="3"/>
      <c r="E906" s="3"/>
      <c r="F906" s="25" t="s">
        <v>131</v>
      </c>
      <c r="G906" s="3">
        <v>631</v>
      </c>
      <c r="H906" s="3" t="s">
        <v>139</v>
      </c>
      <c r="I906" s="18">
        <f>17+100</f>
        <v>117</v>
      </c>
      <c r="J906" s="18">
        <v>117</v>
      </c>
      <c r="K906" s="218">
        <f t="shared" si="82"/>
        <v>100</v>
      </c>
      <c r="L906" s="279"/>
      <c r="M906" s="285"/>
      <c r="N906" s="18"/>
      <c r="O906" s="218"/>
      <c r="P906" s="279"/>
      <c r="Q906" s="285">
        <f t="shared" si="81"/>
        <v>117</v>
      </c>
      <c r="R906" s="18">
        <f t="shared" si="81"/>
        <v>117</v>
      </c>
      <c r="S906" s="219">
        <f t="shared" si="83"/>
        <v>100</v>
      </c>
    </row>
    <row r="907" spans="2:19" x14ac:dyDescent="0.2">
      <c r="B907" s="78">
        <f t="shared" si="84"/>
        <v>334</v>
      </c>
      <c r="C907" s="3"/>
      <c r="D907" s="3"/>
      <c r="E907" s="3"/>
      <c r="F907" s="25" t="s">
        <v>131</v>
      </c>
      <c r="G907" s="3">
        <v>632</v>
      </c>
      <c r="H907" s="3" t="s">
        <v>146</v>
      </c>
      <c r="I907" s="18">
        <f>12010-1312+25000</f>
        <v>35698</v>
      </c>
      <c r="J907" s="18">
        <v>35698</v>
      </c>
      <c r="K907" s="218">
        <f t="shared" si="82"/>
        <v>100</v>
      </c>
      <c r="L907" s="279"/>
      <c r="M907" s="285"/>
      <c r="N907" s="18"/>
      <c r="O907" s="218"/>
      <c r="P907" s="279"/>
      <c r="Q907" s="285">
        <f t="shared" si="81"/>
        <v>35698</v>
      </c>
      <c r="R907" s="18">
        <f t="shared" si="81"/>
        <v>35698</v>
      </c>
      <c r="S907" s="219">
        <f t="shared" si="83"/>
        <v>100</v>
      </c>
    </row>
    <row r="908" spans="2:19" x14ac:dyDescent="0.2">
      <c r="B908" s="78">
        <f t="shared" si="84"/>
        <v>335</v>
      </c>
      <c r="C908" s="3"/>
      <c r="D908" s="3"/>
      <c r="E908" s="3"/>
      <c r="F908" s="25" t="s">
        <v>131</v>
      </c>
      <c r="G908" s="3">
        <v>633</v>
      </c>
      <c r="H908" s="3" t="s">
        <v>137</v>
      </c>
      <c r="I908" s="18">
        <f>18466-633</f>
        <v>17833</v>
      </c>
      <c r="J908" s="18">
        <v>17159</v>
      </c>
      <c r="K908" s="218">
        <f t="shared" si="82"/>
        <v>96.22049010261874</v>
      </c>
      <c r="L908" s="279"/>
      <c r="M908" s="285"/>
      <c r="N908" s="18"/>
      <c r="O908" s="218"/>
      <c r="P908" s="279"/>
      <c r="Q908" s="285">
        <f t="shared" si="81"/>
        <v>17833</v>
      </c>
      <c r="R908" s="18">
        <f t="shared" si="81"/>
        <v>17159</v>
      </c>
      <c r="S908" s="219">
        <f t="shared" si="83"/>
        <v>96.22049010261874</v>
      </c>
    </row>
    <row r="909" spans="2:19" x14ac:dyDescent="0.2">
      <c r="B909" s="78">
        <f t="shared" si="84"/>
        <v>336</v>
      </c>
      <c r="C909" s="3"/>
      <c r="D909" s="3"/>
      <c r="E909" s="3"/>
      <c r="F909" s="25" t="s">
        <v>131</v>
      </c>
      <c r="G909" s="3">
        <v>634</v>
      </c>
      <c r="H909" s="3" t="s">
        <v>144</v>
      </c>
      <c r="I909" s="18">
        <v>1610</v>
      </c>
      <c r="J909" s="19">
        <v>0</v>
      </c>
      <c r="K909" s="218">
        <f t="shared" si="82"/>
        <v>0</v>
      </c>
      <c r="L909" s="279"/>
      <c r="M909" s="285"/>
      <c r="N909" s="18"/>
      <c r="O909" s="218"/>
      <c r="P909" s="279"/>
      <c r="Q909" s="285">
        <f t="shared" si="81"/>
        <v>1610</v>
      </c>
      <c r="R909" s="18">
        <f t="shared" si="81"/>
        <v>0</v>
      </c>
      <c r="S909" s="219">
        <f t="shared" si="83"/>
        <v>0</v>
      </c>
    </row>
    <row r="910" spans="2:19" x14ac:dyDescent="0.2">
      <c r="B910" s="78">
        <f t="shared" si="84"/>
        <v>337</v>
      </c>
      <c r="C910" s="3"/>
      <c r="D910" s="3"/>
      <c r="E910" s="3"/>
      <c r="F910" s="25" t="s">
        <v>131</v>
      </c>
      <c r="G910" s="3">
        <v>635</v>
      </c>
      <c r="H910" s="3" t="s">
        <v>145</v>
      </c>
      <c r="I910" s="18">
        <f>13354-6607</f>
        <v>6747</v>
      </c>
      <c r="J910" s="19">
        <v>5680</v>
      </c>
      <c r="K910" s="218">
        <f t="shared" si="82"/>
        <v>84.185563954350087</v>
      </c>
      <c r="L910" s="279"/>
      <c r="M910" s="285"/>
      <c r="N910" s="18"/>
      <c r="O910" s="218"/>
      <c r="P910" s="279"/>
      <c r="Q910" s="285">
        <f t="shared" si="81"/>
        <v>6747</v>
      </c>
      <c r="R910" s="18">
        <f t="shared" si="81"/>
        <v>5680</v>
      </c>
      <c r="S910" s="219">
        <f t="shared" si="83"/>
        <v>84.185563954350087</v>
      </c>
    </row>
    <row r="911" spans="2:19" x14ac:dyDescent="0.2">
      <c r="B911" s="78">
        <f t="shared" si="84"/>
        <v>338</v>
      </c>
      <c r="C911" s="3"/>
      <c r="D911" s="3"/>
      <c r="E911" s="3"/>
      <c r="F911" s="25" t="s">
        <v>131</v>
      </c>
      <c r="G911" s="3">
        <v>635</v>
      </c>
      <c r="H911" s="3" t="s">
        <v>645</v>
      </c>
      <c r="I911" s="18">
        <v>11000</v>
      </c>
      <c r="J911" s="19">
        <v>10506</v>
      </c>
      <c r="K911" s="218">
        <f t="shared" si="82"/>
        <v>95.509090909090915</v>
      </c>
      <c r="L911" s="279"/>
      <c r="M911" s="285"/>
      <c r="N911" s="18"/>
      <c r="O911" s="218"/>
      <c r="P911" s="279"/>
      <c r="Q911" s="285">
        <f t="shared" si="81"/>
        <v>11000</v>
      </c>
      <c r="R911" s="18">
        <f t="shared" si="81"/>
        <v>10506</v>
      </c>
      <c r="S911" s="219">
        <f t="shared" si="83"/>
        <v>95.509090909090915</v>
      </c>
    </row>
    <row r="912" spans="2:19" x14ac:dyDescent="0.2">
      <c r="B912" s="78">
        <f t="shared" si="84"/>
        <v>339</v>
      </c>
      <c r="C912" s="3"/>
      <c r="D912" s="3"/>
      <c r="E912" s="3"/>
      <c r="F912" s="25" t="s">
        <v>131</v>
      </c>
      <c r="G912" s="3">
        <v>636</v>
      </c>
      <c r="H912" s="3" t="s">
        <v>138</v>
      </c>
      <c r="I912" s="18">
        <v>7</v>
      </c>
      <c r="J912" s="19">
        <v>7</v>
      </c>
      <c r="K912" s="218">
        <f t="shared" si="82"/>
        <v>100</v>
      </c>
      <c r="L912" s="279"/>
      <c r="M912" s="285"/>
      <c r="N912" s="18"/>
      <c r="O912" s="218"/>
      <c r="P912" s="279"/>
      <c r="Q912" s="285">
        <f t="shared" si="81"/>
        <v>7</v>
      </c>
      <c r="R912" s="18">
        <f t="shared" si="81"/>
        <v>7</v>
      </c>
      <c r="S912" s="219">
        <f t="shared" si="83"/>
        <v>100</v>
      </c>
    </row>
    <row r="913" spans="2:19" x14ac:dyDescent="0.2">
      <c r="B913" s="78">
        <f t="shared" si="84"/>
        <v>340</v>
      </c>
      <c r="C913" s="3"/>
      <c r="D913" s="3"/>
      <c r="E913" s="3"/>
      <c r="F913" s="25" t="s">
        <v>131</v>
      </c>
      <c r="G913" s="3">
        <v>637</v>
      </c>
      <c r="H913" s="3" t="s">
        <v>134</v>
      </c>
      <c r="I913" s="18">
        <f>23755+4700</f>
        <v>28455</v>
      </c>
      <c r="J913" s="19">
        <v>25243</v>
      </c>
      <c r="K913" s="218">
        <f t="shared" si="82"/>
        <v>88.712001405728344</v>
      </c>
      <c r="L913" s="279"/>
      <c r="M913" s="285"/>
      <c r="N913" s="18"/>
      <c r="O913" s="218"/>
      <c r="P913" s="279"/>
      <c r="Q913" s="285">
        <f t="shared" si="81"/>
        <v>28455</v>
      </c>
      <c r="R913" s="18">
        <f t="shared" si="81"/>
        <v>25243</v>
      </c>
      <c r="S913" s="219">
        <f t="shared" si="83"/>
        <v>88.712001405728344</v>
      </c>
    </row>
    <row r="914" spans="2:19" x14ac:dyDescent="0.2">
      <c r="B914" s="78">
        <f t="shared" si="84"/>
        <v>341</v>
      </c>
      <c r="C914" s="7"/>
      <c r="D914" s="7"/>
      <c r="E914" s="7"/>
      <c r="F914" s="24" t="s">
        <v>131</v>
      </c>
      <c r="G914" s="7">
        <v>640</v>
      </c>
      <c r="H914" s="7" t="s">
        <v>141</v>
      </c>
      <c r="I914" s="22">
        <v>1470</v>
      </c>
      <c r="J914" s="22">
        <v>1470</v>
      </c>
      <c r="K914" s="218">
        <f t="shared" si="82"/>
        <v>100</v>
      </c>
      <c r="L914" s="278"/>
      <c r="M914" s="284"/>
      <c r="N914" s="22"/>
      <c r="O914" s="218"/>
      <c r="P914" s="278"/>
      <c r="Q914" s="284">
        <f t="shared" si="81"/>
        <v>1470</v>
      </c>
      <c r="R914" s="22">
        <f t="shared" si="81"/>
        <v>1470</v>
      </c>
      <c r="S914" s="219">
        <f t="shared" si="83"/>
        <v>100</v>
      </c>
    </row>
    <row r="915" spans="2:19" x14ac:dyDescent="0.2">
      <c r="B915" s="78">
        <f t="shared" si="84"/>
        <v>342</v>
      </c>
      <c r="C915" s="7"/>
      <c r="D915" s="7"/>
      <c r="E915" s="7"/>
      <c r="F915" s="24" t="s">
        <v>118</v>
      </c>
      <c r="G915" s="7">
        <v>610</v>
      </c>
      <c r="H915" s="7" t="s">
        <v>143</v>
      </c>
      <c r="I915" s="22">
        <f>482327+21295+21295+1185-22048</f>
        <v>504054</v>
      </c>
      <c r="J915" s="22">
        <v>501547</v>
      </c>
      <c r="K915" s="218">
        <f t="shared" si="82"/>
        <v>99.502632654437818</v>
      </c>
      <c r="L915" s="278"/>
      <c r="M915" s="284"/>
      <c r="N915" s="22"/>
      <c r="O915" s="218"/>
      <c r="P915" s="278"/>
      <c r="Q915" s="284">
        <f t="shared" si="81"/>
        <v>504054</v>
      </c>
      <c r="R915" s="22">
        <f t="shared" si="81"/>
        <v>501547</v>
      </c>
      <c r="S915" s="219">
        <f t="shared" si="83"/>
        <v>99.502632654437818</v>
      </c>
    </row>
    <row r="916" spans="2:19" x14ac:dyDescent="0.2">
      <c r="B916" s="78">
        <f t="shared" si="84"/>
        <v>343</v>
      </c>
      <c r="C916" s="7"/>
      <c r="D916" s="7"/>
      <c r="E916" s="7"/>
      <c r="F916" s="24" t="s">
        <v>118</v>
      </c>
      <c r="G916" s="7">
        <v>620</v>
      </c>
      <c r="H916" s="7" t="s">
        <v>136</v>
      </c>
      <c r="I916" s="22">
        <f>168790+8082+8821+415-6858</f>
        <v>179250</v>
      </c>
      <c r="J916" s="22">
        <v>178448</v>
      </c>
      <c r="K916" s="218">
        <f t="shared" si="82"/>
        <v>99.552580195258017</v>
      </c>
      <c r="L916" s="278"/>
      <c r="M916" s="284"/>
      <c r="N916" s="22"/>
      <c r="O916" s="218"/>
      <c r="P916" s="278"/>
      <c r="Q916" s="284">
        <f t="shared" si="81"/>
        <v>179250</v>
      </c>
      <c r="R916" s="22">
        <f t="shared" si="81"/>
        <v>178448</v>
      </c>
      <c r="S916" s="219">
        <f t="shared" si="83"/>
        <v>99.552580195258017</v>
      </c>
    </row>
    <row r="917" spans="2:19" x14ac:dyDescent="0.2">
      <c r="B917" s="78">
        <f t="shared" si="84"/>
        <v>344</v>
      </c>
      <c r="C917" s="7"/>
      <c r="D917" s="7"/>
      <c r="E917" s="7"/>
      <c r="F917" s="24" t="s">
        <v>118</v>
      </c>
      <c r="G917" s="7">
        <v>630</v>
      </c>
      <c r="H917" s="7" t="s">
        <v>133</v>
      </c>
      <c r="I917" s="22">
        <f>SUM(I918:I923)</f>
        <v>190599</v>
      </c>
      <c r="J917" s="22">
        <f>SUM(J918:J923)</f>
        <v>186040</v>
      </c>
      <c r="K917" s="218">
        <f t="shared" si="82"/>
        <v>97.608067198673652</v>
      </c>
      <c r="L917" s="278"/>
      <c r="M917" s="284"/>
      <c r="N917" s="22"/>
      <c r="O917" s="218"/>
      <c r="P917" s="278"/>
      <c r="Q917" s="284">
        <f t="shared" si="81"/>
        <v>190599</v>
      </c>
      <c r="R917" s="22">
        <f t="shared" si="81"/>
        <v>186040</v>
      </c>
      <c r="S917" s="219">
        <f t="shared" si="83"/>
        <v>97.608067198673652</v>
      </c>
    </row>
    <row r="918" spans="2:19" x14ac:dyDescent="0.2">
      <c r="B918" s="78">
        <f t="shared" si="84"/>
        <v>345</v>
      </c>
      <c r="C918" s="3"/>
      <c r="D918" s="3"/>
      <c r="E918" s="3"/>
      <c r="F918" s="25" t="s">
        <v>118</v>
      </c>
      <c r="G918" s="3">
        <v>631</v>
      </c>
      <c r="H918" s="3" t="s">
        <v>139</v>
      </c>
      <c r="I918" s="18">
        <f>25+150</f>
        <v>175</v>
      </c>
      <c r="J918" s="18">
        <v>175</v>
      </c>
      <c r="K918" s="218">
        <f t="shared" si="82"/>
        <v>100</v>
      </c>
      <c r="L918" s="279"/>
      <c r="M918" s="285"/>
      <c r="N918" s="18"/>
      <c r="O918" s="218"/>
      <c r="P918" s="279"/>
      <c r="Q918" s="285">
        <f t="shared" si="81"/>
        <v>175</v>
      </c>
      <c r="R918" s="18">
        <f t="shared" si="81"/>
        <v>175</v>
      </c>
      <c r="S918" s="219">
        <f t="shared" si="83"/>
        <v>100</v>
      </c>
    </row>
    <row r="919" spans="2:19" x14ac:dyDescent="0.2">
      <c r="B919" s="78">
        <f t="shared" si="84"/>
        <v>346</v>
      </c>
      <c r="C919" s="3"/>
      <c r="D919" s="3"/>
      <c r="E919" s="3"/>
      <c r="F919" s="25" t="s">
        <v>118</v>
      </c>
      <c r="G919" s="3">
        <v>632</v>
      </c>
      <c r="H919" s="3" t="s">
        <v>146</v>
      </c>
      <c r="I919" s="18">
        <f>65483+1845</f>
        <v>67328</v>
      </c>
      <c r="J919" s="18">
        <v>67328</v>
      </c>
      <c r="K919" s="218">
        <f t="shared" si="82"/>
        <v>100</v>
      </c>
      <c r="L919" s="279"/>
      <c r="M919" s="285"/>
      <c r="N919" s="18"/>
      <c r="O919" s="218"/>
      <c r="P919" s="279"/>
      <c r="Q919" s="285">
        <f t="shared" si="81"/>
        <v>67328</v>
      </c>
      <c r="R919" s="18">
        <f t="shared" si="81"/>
        <v>67328</v>
      </c>
      <c r="S919" s="219">
        <f t="shared" si="83"/>
        <v>100</v>
      </c>
    </row>
    <row r="920" spans="2:19" x14ac:dyDescent="0.2">
      <c r="B920" s="78">
        <f t="shared" si="84"/>
        <v>347</v>
      </c>
      <c r="C920" s="3"/>
      <c r="D920" s="3"/>
      <c r="E920" s="3"/>
      <c r="F920" s="25" t="s">
        <v>118</v>
      </c>
      <c r="G920" s="3">
        <v>633</v>
      </c>
      <c r="H920" s="3" t="s">
        <v>137</v>
      </c>
      <c r="I920" s="18">
        <f>40723-88</f>
        <v>40635</v>
      </c>
      <c r="J920" s="18">
        <v>38019</v>
      </c>
      <c r="K920" s="218">
        <f t="shared" si="82"/>
        <v>93.562200073827981</v>
      </c>
      <c r="L920" s="279"/>
      <c r="M920" s="285"/>
      <c r="N920" s="18"/>
      <c r="O920" s="218"/>
      <c r="P920" s="279"/>
      <c r="Q920" s="285">
        <f t="shared" si="81"/>
        <v>40635</v>
      </c>
      <c r="R920" s="18">
        <f t="shared" si="81"/>
        <v>38019</v>
      </c>
      <c r="S920" s="219">
        <f t="shared" si="83"/>
        <v>93.562200073827981</v>
      </c>
    </row>
    <row r="921" spans="2:19" x14ac:dyDescent="0.2">
      <c r="B921" s="78">
        <f t="shared" si="84"/>
        <v>348</v>
      </c>
      <c r="C921" s="3"/>
      <c r="D921" s="3"/>
      <c r="E921" s="3"/>
      <c r="F921" s="25" t="s">
        <v>118</v>
      </c>
      <c r="G921" s="3">
        <v>635</v>
      </c>
      <c r="H921" s="3" t="s">
        <v>145</v>
      </c>
      <c r="I921" s="18">
        <f>28445-9160</f>
        <v>19285</v>
      </c>
      <c r="J921" s="18">
        <v>17982</v>
      </c>
      <c r="K921" s="218">
        <f t="shared" si="82"/>
        <v>93.243453461239298</v>
      </c>
      <c r="L921" s="279"/>
      <c r="M921" s="285"/>
      <c r="N921" s="18"/>
      <c r="O921" s="218"/>
      <c r="P921" s="279"/>
      <c r="Q921" s="285">
        <f t="shared" si="81"/>
        <v>19285</v>
      </c>
      <c r="R921" s="18">
        <f t="shared" si="81"/>
        <v>17982</v>
      </c>
      <c r="S921" s="219">
        <f t="shared" si="83"/>
        <v>93.243453461239298</v>
      </c>
    </row>
    <row r="922" spans="2:19" x14ac:dyDescent="0.2">
      <c r="B922" s="78">
        <f t="shared" si="84"/>
        <v>349</v>
      </c>
      <c r="C922" s="3"/>
      <c r="D922" s="3"/>
      <c r="E922" s="3"/>
      <c r="F922" s="25" t="s">
        <v>118</v>
      </c>
      <c r="G922" s="3">
        <v>636</v>
      </c>
      <c r="H922" s="3" t="s">
        <v>138</v>
      </c>
      <c r="I922" s="18">
        <v>10</v>
      </c>
      <c r="J922" s="18">
        <v>10</v>
      </c>
      <c r="K922" s="218">
        <f t="shared" si="82"/>
        <v>100</v>
      </c>
      <c r="L922" s="279"/>
      <c r="M922" s="285"/>
      <c r="N922" s="18"/>
      <c r="O922" s="218"/>
      <c r="P922" s="279"/>
      <c r="Q922" s="285">
        <f t="shared" si="81"/>
        <v>10</v>
      </c>
      <c r="R922" s="18">
        <f t="shared" si="81"/>
        <v>10</v>
      </c>
      <c r="S922" s="219">
        <f t="shared" si="83"/>
        <v>100</v>
      </c>
    </row>
    <row r="923" spans="2:19" x14ac:dyDescent="0.2">
      <c r="B923" s="78">
        <f t="shared" si="84"/>
        <v>350</v>
      </c>
      <c r="C923" s="3"/>
      <c r="D923" s="3"/>
      <c r="E923" s="3"/>
      <c r="F923" s="25" t="s">
        <v>118</v>
      </c>
      <c r="G923" s="3">
        <v>637</v>
      </c>
      <c r="H923" s="3" t="s">
        <v>134</v>
      </c>
      <c r="I923" s="18">
        <f>49952+2500+2110+8604</f>
        <v>63166</v>
      </c>
      <c r="J923" s="18">
        <v>62526</v>
      </c>
      <c r="K923" s="218">
        <f t="shared" si="82"/>
        <v>98.986796694424214</v>
      </c>
      <c r="L923" s="279"/>
      <c r="M923" s="285"/>
      <c r="N923" s="18"/>
      <c r="O923" s="218"/>
      <c r="P923" s="279"/>
      <c r="Q923" s="285">
        <f t="shared" si="81"/>
        <v>63166</v>
      </c>
      <c r="R923" s="18">
        <f t="shared" si="81"/>
        <v>62526</v>
      </c>
      <c r="S923" s="219">
        <f t="shared" si="83"/>
        <v>98.986796694424214</v>
      </c>
    </row>
    <row r="924" spans="2:19" x14ac:dyDescent="0.2">
      <c r="B924" s="78">
        <f t="shared" si="84"/>
        <v>351</v>
      </c>
      <c r="C924" s="7"/>
      <c r="D924" s="7"/>
      <c r="E924" s="7"/>
      <c r="F924" s="24" t="s">
        <v>118</v>
      </c>
      <c r="G924" s="7">
        <v>640</v>
      </c>
      <c r="H924" s="7" t="s">
        <v>141</v>
      </c>
      <c r="I924" s="22">
        <f>3865-472</f>
        <v>3393</v>
      </c>
      <c r="J924" s="22">
        <v>3393</v>
      </c>
      <c r="K924" s="218">
        <f t="shared" si="82"/>
        <v>100</v>
      </c>
      <c r="L924" s="278"/>
      <c r="M924" s="284"/>
      <c r="N924" s="22"/>
      <c r="O924" s="218"/>
      <c r="P924" s="278"/>
      <c r="Q924" s="284">
        <f t="shared" si="81"/>
        <v>3393</v>
      </c>
      <c r="R924" s="22">
        <f t="shared" si="81"/>
        <v>3393</v>
      </c>
      <c r="S924" s="219">
        <f t="shared" si="83"/>
        <v>100</v>
      </c>
    </row>
    <row r="925" spans="2:19" x14ac:dyDescent="0.2">
      <c r="B925" s="78">
        <f t="shared" si="84"/>
        <v>352</v>
      </c>
      <c r="C925" s="7"/>
      <c r="D925" s="7"/>
      <c r="E925" s="7"/>
      <c r="F925" s="24"/>
      <c r="G925" s="7">
        <v>630</v>
      </c>
      <c r="H925" s="7" t="s">
        <v>574</v>
      </c>
      <c r="I925" s="22">
        <v>6119</v>
      </c>
      <c r="J925" s="22">
        <v>6119</v>
      </c>
      <c r="K925" s="218">
        <f t="shared" si="82"/>
        <v>100</v>
      </c>
      <c r="L925" s="278"/>
      <c r="M925" s="284"/>
      <c r="N925" s="22"/>
      <c r="O925" s="218"/>
      <c r="P925" s="278"/>
      <c r="Q925" s="284">
        <f t="shared" si="81"/>
        <v>6119</v>
      </c>
      <c r="R925" s="22">
        <f t="shared" si="81"/>
        <v>6119</v>
      </c>
      <c r="S925" s="219">
        <f t="shared" si="83"/>
        <v>100</v>
      </c>
    </row>
    <row r="926" spans="2:19" x14ac:dyDescent="0.2">
      <c r="B926" s="78">
        <f t="shared" si="84"/>
        <v>353</v>
      </c>
      <c r="C926" s="7"/>
      <c r="D926" s="7"/>
      <c r="E926" s="7"/>
      <c r="F926" s="24" t="s">
        <v>83</v>
      </c>
      <c r="G926" s="7">
        <v>630</v>
      </c>
      <c r="H926" s="7" t="s">
        <v>647</v>
      </c>
      <c r="I926" s="22">
        <v>520</v>
      </c>
      <c r="J926" s="22">
        <v>515</v>
      </c>
      <c r="K926" s="218">
        <f t="shared" si="82"/>
        <v>99.038461538461547</v>
      </c>
      <c r="L926" s="278"/>
      <c r="M926" s="284"/>
      <c r="N926" s="22"/>
      <c r="O926" s="218"/>
      <c r="P926" s="278"/>
      <c r="Q926" s="284">
        <f t="shared" si="81"/>
        <v>520</v>
      </c>
      <c r="R926" s="22">
        <f t="shared" si="81"/>
        <v>515</v>
      </c>
      <c r="S926" s="219">
        <f t="shared" si="83"/>
        <v>99.038461538461547</v>
      </c>
    </row>
    <row r="927" spans="2:19" ht="15" x14ac:dyDescent="0.25">
      <c r="B927" s="78">
        <f t="shared" si="84"/>
        <v>354</v>
      </c>
      <c r="C927" s="10"/>
      <c r="D927" s="10"/>
      <c r="E927" s="10">
        <v>12</v>
      </c>
      <c r="F927" s="27"/>
      <c r="G927" s="10"/>
      <c r="H927" s="10" t="s">
        <v>9</v>
      </c>
      <c r="I927" s="37">
        <f>I928+I929+I930+I938+I939+I940+I941+I948+I949+I950</f>
        <v>1291708</v>
      </c>
      <c r="J927" s="37">
        <f>J928+J929+J930+J938+J939+J940+J941+J948+J949+J950</f>
        <v>1288679</v>
      </c>
      <c r="K927" s="218">
        <f t="shared" si="82"/>
        <v>99.765504278056653</v>
      </c>
      <c r="L927" s="295"/>
      <c r="M927" s="299">
        <v>0</v>
      </c>
      <c r="N927" s="37">
        <v>0</v>
      </c>
      <c r="O927" s="218"/>
      <c r="P927" s="295"/>
      <c r="Q927" s="299">
        <f t="shared" si="81"/>
        <v>1291708</v>
      </c>
      <c r="R927" s="37">
        <f t="shared" si="81"/>
        <v>1288679</v>
      </c>
      <c r="S927" s="219">
        <f t="shared" si="83"/>
        <v>99.765504278056653</v>
      </c>
    </row>
    <row r="928" spans="2:19" x14ac:dyDescent="0.2">
      <c r="B928" s="78">
        <f t="shared" si="84"/>
        <v>355</v>
      </c>
      <c r="C928" s="7"/>
      <c r="D928" s="7"/>
      <c r="E928" s="7"/>
      <c r="F928" s="24" t="s">
        <v>131</v>
      </c>
      <c r="G928" s="7">
        <v>610</v>
      </c>
      <c r="H928" s="7" t="s">
        <v>143</v>
      </c>
      <c r="I928" s="22">
        <f>362610+14850-27320-14850+1950</f>
        <v>337240</v>
      </c>
      <c r="J928" s="22">
        <v>335290</v>
      </c>
      <c r="K928" s="218">
        <f t="shared" si="82"/>
        <v>99.421776776183137</v>
      </c>
      <c r="L928" s="278"/>
      <c r="M928" s="284"/>
      <c r="N928" s="22"/>
      <c r="O928" s="218"/>
      <c r="P928" s="278"/>
      <c r="Q928" s="284">
        <f t="shared" si="81"/>
        <v>337240</v>
      </c>
      <c r="R928" s="22">
        <f t="shared" si="81"/>
        <v>335290</v>
      </c>
      <c r="S928" s="219">
        <f t="shared" si="83"/>
        <v>99.421776776183137</v>
      </c>
    </row>
    <row r="929" spans="2:19" x14ac:dyDescent="0.2">
      <c r="B929" s="78">
        <f t="shared" si="84"/>
        <v>356</v>
      </c>
      <c r="C929" s="7"/>
      <c r="D929" s="7"/>
      <c r="E929" s="7"/>
      <c r="F929" s="24" t="s">
        <v>131</v>
      </c>
      <c r="G929" s="7">
        <v>620</v>
      </c>
      <c r="H929" s="7" t="s">
        <v>136</v>
      </c>
      <c r="I929" s="22">
        <f>125960+5560-1414-5560+700</f>
        <v>125246</v>
      </c>
      <c r="J929" s="22">
        <v>124546</v>
      </c>
      <c r="K929" s="218">
        <f t="shared" si="82"/>
        <v>99.441099915366564</v>
      </c>
      <c r="L929" s="278"/>
      <c r="M929" s="284"/>
      <c r="N929" s="22"/>
      <c r="O929" s="218"/>
      <c r="P929" s="278"/>
      <c r="Q929" s="284">
        <f t="shared" si="81"/>
        <v>125246</v>
      </c>
      <c r="R929" s="22">
        <f t="shared" si="81"/>
        <v>124546</v>
      </c>
      <c r="S929" s="219">
        <f t="shared" si="83"/>
        <v>99.441099915366564</v>
      </c>
    </row>
    <row r="930" spans="2:19" x14ac:dyDescent="0.2">
      <c r="B930" s="78">
        <f t="shared" si="84"/>
        <v>357</v>
      </c>
      <c r="C930" s="7"/>
      <c r="D930" s="7"/>
      <c r="E930" s="7"/>
      <c r="F930" s="24" t="s">
        <v>131</v>
      </c>
      <c r="G930" s="7">
        <v>630</v>
      </c>
      <c r="H930" s="7" t="s">
        <v>133</v>
      </c>
      <c r="I930" s="22">
        <f>SUM(I931:I937)</f>
        <v>61196</v>
      </c>
      <c r="J930" s="22">
        <f>SUM(J931:J937)</f>
        <v>59563</v>
      </c>
      <c r="K930" s="218">
        <f t="shared" si="82"/>
        <v>97.331524936270341</v>
      </c>
      <c r="L930" s="278"/>
      <c r="M930" s="284"/>
      <c r="N930" s="22"/>
      <c r="O930" s="218"/>
      <c r="P930" s="278"/>
      <c r="Q930" s="284">
        <f t="shared" si="81"/>
        <v>61196</v>
      </c>
      <c r="R930" s="22">
        <f t="shared" si="81"/>
        <v>59563</v>
      </c>
      <c r="S930" s="219">
        <f t="shared" si="83"/>
        <v>97.331524936270341</v>
      </c>
    </row>
    <row r="931" spans="2:19" x14ac:dyDescent="0.2">
      <c r="B931" s="78">
        <f t="shared" si="84"/>
        <v>358</v>
      </c>
      <c r="C931" s="3"/>
      <c r="D931" s="3"/>
      <c r="E931" s="3"/>
      <c r="F931" s="25" t="s">
        <v>131</v>
      </c>
      <c r="G931" s="3">
        <v>631</v>
      </c>
      <c r="H931" s="3" t="s">
        <v>139</v>
      </c>
      <c r="I931" s="18">
        <v>305</v>
      </c>
      <c r="J931" s="18">
        <v>304</v>
      </c>
      <c r="K931" s="218">
        <f t="shared" si="82"/>
        <v>99.672131147540995</v>
      </c>
      <c r="L931" s="279"/>
      <c r="M931" s="285"/>
      <c r="N931" s="18"/>
      <c r="O931" s="218"/>
      <c r="P931" s="279"/>
      <c r="Q931" s="285">
        <f t="shared" si="81"/>
        <v>305</v>
      </c>
      <c r="R931" s="18">
        <f t="shared" si="81"/>
        <v>304</v>
      </c>
      <c r="S931" s="219">
        <f t="shared" si="83"/>
        <v>99.672131147540995</v>
      </c>
    </row>
    <row r="932" spans="2:19" x14ac:dyDescent="0.2">
      <c r="B932" s="78">
        <f t="shared" si="84"/>
        <v>359</v>
      </c>
      <c r="C932" s="3"/>
      <c r="D932" s="3"/>
      <c r="E932" s="3"/>
      <c r="F932" s="25" t="s">
        <v>131</v>
      </c>
      <c r="G932" s="3">
        <v>632</v>
      </c>
      <c r="H932" s="3" t="s">
        <v>146</v>
      </c>
      <c r="I932" s="18">
        <v>18350</v>
      </c>
      <c r="J932" s="18">
        <v>18350</v>
      </c>
      <c r="K932" s="218">
        <f t="shared" si="82"/>
        <v>100</v>
      </c>
      <c r="L932" s="279"/>
      <c r="M932" s="285"/>
      <c r="N932" s="18"/>
      <c r="O932" s="218"/>
      <c r="P932" s="279"/>
      <c r="Q932" s="285">
        <f t="shared" si="81"/>
        <v>18350</v>
      </c>
      <c r="R932" s="18">
        <f t="shared" si="81"/>
        <v>18350</v>
      </c>
      <c r="S932" s="219">
        <f t="shared" si="83"/>
        <v>100</v>
      </c>
    </row>
    <row r="933" spans="2:19" x14ac:dyDescent="0.2">
      <c r="B933" s="78">
        <f t="shared" si="84"/>
        <v>360</v>
      </c>
      <c r="C933" s="3"/>
      <c r="D933" s="3"/>
      <c r="E933" s="3"/>
      <c r="F933" s="25" t="s">
        <v>131</v>
      </c>
      <c r="G933" s="3">
        <v>633</v>
      </c>
      <c r="H933" s="3" t="s">
        <v>137</v>
      </c>
      <c r="I933" s="18">
        <f>9870+284</f>
        <v>10154</v>
      </c>
      <c r="J933" s="18">
        <v>10154</v>
      </c>
      <c r="K933" s="218">
        <f t="shared" si="82"/>
        <v>100</v>
      </c>
      <c r="L933" s="279"/>
      <c r="M933" s="285"/>
      <c r="N933" s="18"/>
      <c r="O933" s="218"/>
      <c r="P933" s="279"/>
      <c r="Q933" s="285">
        <f t="shared" si="81"/>
        <v>10154</v>
      </c>
      <c r="R933" s="18">
        <f t="shared" si="81"/>
        <v>10154</v>
      </c>
      <c r="S933" s="219">
        <f t="shared" si="83"/>
        <v>100</v>
      </c>
    </row>
    <row r="934" spans="2:19" x14ac:dyDescent="0.2">
      <c r="B934" s="78">
        <f t="shared" si="84"/>
        <v>361</v>
      </c>
      <c r="C934" s="3"/>
      <c r="D934" s="3"/>
      <c r="E934" s="3"/>
      <c r="F934" s="25" t="s">
        <v>131</v>
      </c>
      <c r="G934" s="3">
        <v>634</v>
      </c>
      <c r="H934" s="3" t="s">
        <v>144</v>
      </c>
      <c r="I934" s="18">
        <v>1632</v>
      </c>
      <c r="J934" s="18">
        <v>0</v>
      </c>
      <c r="K934" s="218">
        <f t="shared" si="82"/>
        <v>0</v>
      </c>
      <c r="L934" s="279"/>
      <c r="M934" s="285"/>
      <c r="N934" s="18"/>
      <c r="O934" s="218"/>
      <c r="P934" s="279"/>
      <c r="Q934" s="285">
        <f t="shared" si="81"/>
        <v>1632</v>
      </c>
      <c r="R934" s="18">
        <f t="shared" si="81"/>
        <v>0</v>
      </c>
      <c r="S934" s="219">
        <f t="shared" si="83"/>
        <v>0</v>
      </c>
    </row>
    <row r="935" spans="2:19" x14ac:dyDescent="0.2">
      <c r="B935" s="78">
        <f t="shared" si="84"/>
        <v>362</v>
      </c>
      <c r="C935" s="3"/>
      <c r="D935" s="3"/>
      <c r="E935" s="3"/>
      <c r="F935" s="25" t="s">
        <v>131</v>
      </c>
      <c r="G935" s="3">
        <v>635</v>
      </c>
      <c r="H935" s="3" t="s">
        <v>145</v>
      </c>
      <c r="I935" s="18">
        <f>15600-2485</f>
        <v>13115</v>
      </c>
      <c r="J935" s="18">
        <v>13115</v>
      </c>
      <c r="K935" s="218">
        <f t="shared" si="82"/>
        <v>100</v>
      </c>
      <c r="L935" s="279"/>
      <c r="M935" s="285"/>
      <c r="N935" s="18"/>
      <c r="O935" s="218"/>
      <c r="P935" s="279"/>
      <c r="Q935" s="285">
        <f t="shared" si="81"/>
        <v>13115</v>
      </c>
      <c r="R935" s="18">
        <f t="shared" si="81"/>
        <v>13115</v>
      </c>
      <c r="S935" s="219">
        <f t="shared" si="83"/>
        <v>100</v>
      </c>
    </row>
    <row r="936" spans="2:19" x14ac:dyDescent="0.2">
      <c r="B936" s="78">
        <f t="shared" si="84"/>
        <v>363</v>
      </c>
      <c r="C936" s="3"/>
      <c r="D936" s="3"/>
      <c r="E936" s="3"/>
      <c r="F936" s="25" t="s">
        <v>131</v>
      </c>
      <c r="G936" s="3">
        <v>636</v>
      </c>
      <c r="H936" s="3" t="s">
        <v>138</v>
      </c>
      <c r="I936" s="18">
        <v>2400</v>
      </c>
      <c r="J936" s="18">
        <v>2400</v>
      </c>
      <c r="K936" s="218">
        <f t="shared" si="82"/>
        <v>100</v>
      </c>
      <c r="L936" s="279"/>
      <c r="M936" s="285"/>
      <c r="N936" s="18"/>
      <c r="O936" s="218"/>
      <c r="P936" s="279"/>
      <c r="Q936" s="285">
        <f t="shared" si="81"/>
        <v>2400</v>
      </c>
      <c r="R936" s="18">
        <f t="shared" si="81"/>
        <v>2400</v>
      </c>
      <c r="S936" s="219">
        <f t="shared" si="83"/>
        <v>100</v>
      </c>
    </row>
    <row r="937" spans="2:19" x14ac:dyDescent="0.2">
      <c r="B937" s="78">
        <f t="shared" si="84"/>
        <v>364</v>
      </c>
      <c r="C937" s="3"/>
      <c r="D937" s="3"/>
      <c r="E937" s="3"/>
      <c r="F937" s="25" t="s">
        <v>131</v>
      </c>
      <c r="G937" s="3">
        <v>637</v>
      </c>
      <c r="H937" s="3" t="s">
        <v>134</v>
      </c>
      <c r="I937" s="18">
        <v>15240</v>
      </c>
      <c r="J937" s="18">
        <v>15240</v>
      </c>
      <c r="K937" s="218">
        <f t="shared" si="82"/>
        <v>100</v>
      </c>
      <c r="L937" s="279"/>
      <c r="M937" s="285"/>
      <c r="N937" s="18"/>
      <c r="O937" s="218"/>
      <c r="P937" s="279"/>
      <c r="Q937" s="285">
        <f t="shared" si="81"/>
        <v>15240</v>
      </c>
      <c r="R937" s="18">
        <f t="shared" si="81"/>
        <v>15240</v>
      </c>
      <c r="S937" s="219">
        <f t="shared" si="83"/>
        <v>100</v>
      </c>
    </row>
    <row r="938" spans="2:19" x14ac:dyDescent="0.2">
      <c r="B938" s="78">
        <f t="shared" si="84"/>
        <v>365</v>
      </c>
      <c r="C938" s="7"/>
      <c r="D938" s="7"/>
      <c r="E938" s="7"/>
      <c r="F938" s="24" t="s">
        <v>131</v>
      </c>
      <c r="G938" s="7">
        <v>640</v>
      </c>
      <c r="H938" s="7" t="s">
        <v>141</v>
      </c>
      <c r="I938" s="22">
        <f>10400+2080-2550</f>
        <v>9930</v>
      </c>
      <c r="J938" s="22">
        <v>9930</v>
      </c>
      <c r="K938" s="218">
        <f t="shared" si="82"/>
        <v>100</v>
      </c>
      <c r="L938" s="278"/>
      <c r="M938" s="284"/>
      <c r="N938" s="22"/>
      <c r="O938" s="218"/>
      <c r="P938" s="278"/>
      <c r="Q938" s="284">
        <f t="shared" si="81"/>
        <v>9930</v>
      </c>
      <c r="R938" s="22">
        <f t="shared" si="81"/>
        <v>9930</v>
      </c>
      <c r="S938" s="219">
        <f t="shared" si="83"/>
        <v>100</v>
      </c>
    </row>
    <row r="939" spans="2:19" x14ac:dyDescent="0.2">
      <c r="B939" s="78">
        <f t="shared" si="84"/>
        <v>366</v>
      </c>
      <c r="C939" s="7"/>
      <c r="D939" s="7"/>
      <c r="E939" s="7"/>
      <c r="F939" s="24" t="s">
        <v>118</v>
      </c>
      <c r="G939" s="7">
        <v>610</v>
      </c>
      <c r="H939" s="7" t="s">
        <v>143</v>
      </c>
      <c r="I939" s="22">
        <f>378310+14850+50+18950+12490</f>
        <v>424650</v>
      </c>
      <c r="J939" s="22">
        <v>426550</v>
      </c>
      <c r="K939" s="218">
        <f t="shared" si="82"/>
        <v>100.44742729306489</v>
      </c>
      <c r="L939" s="278"/>
      <c r="M939" s="284"/>
      <c r="N939" s="22"/>
      <c r="O939" s="218"/>
      <c r="P939" s="278"/>
      <c r="Q939" s="284">
        <f t="shared" si="81"/>
        <v>424650</v>
      </c>
      <c r="R939" s="22">
        <f t="shared" si="81"/>
        <v>426550</v>
      </c>
      <c r="S939" s="219">
        <f t="shared" si="83"/>
        <v>100.44742729306489</v>
      </c>
    </row>
    <row r="940" spans="2:19" x14ac:dyDescent="0.2">
      <c r="B940" s="78">
        <f t="shared" si="84"/>
        <v>367</v>
      </c>
      <c r="C940" s="7"/>
      <c r="D940" s="7"/>
      <c r="E940" s="7"/>
      <c r="F940" s="24" t="s">
        <v>118</v>
      </c>
      <c r="G940" s="7">
        <v>620</v>
      </c>
      <c r="H940" s="7" t="s">
        <v>136</v>
      </c>
      <c r="I940" s="22">
        <f>137080+5560+10+5560+24065</f>
        <v>172275</v>
      </c>
      <c r="J940" s="22">
        <v>172965</v>
      </c>
      <c r="K940" s="218">
        <f t="shared" si="82"/>
        <v>100.40052242054853</v>
      </c>
      <c r="L940" s="278"/>
      <c r="M940" s="284"/>
      <c r="N940" s="22"/>
      <c r="O940" s="218"/>
      <c r="P940" s="278"/>
      <c r="Q940" s="284">
        <f t="shared" si="81"/>
        <v>172275</v>
      </c>
      <c r="R940" s="22">
        <f t="shared" si="81"/>
        <v>172965</v>
      </c>
      <c r="S940" s="219">
        <f t="shared" si="83"/>
        <v>100.40052242054853</v>
      </c>
    </row>
    <row r="941" spans="2:19" x14ac:dyDescent="0.2">
      <c r="B941" s="78">
        <f t="shared" si="84"/>
        <v>368</v>
      </c>
      <c r="C941" s="7"/>
      <c r="D941" s="7"/>
      <c r="E941" s="7"/>
      <c r="F941" s="24" t="s">
        <v>118</v>
      </c>
      <c r="G941" s="7">
        <v>630</v>
      </c>
      <c r="H941" s="7" t="s">
        <v>133</v>
      </c>
      <c r="I941" s="22">
        <f>SUM(I942:I947)</f>
        <v>144574</v>
      </c>
      <c r="J941" s="22">
        <f>SUM(J942:J947)</f>
        <v>143616</v>
      </c>
      <c r="K941" s="218">
        <f t="shared" si="82"/>
        <v>99.337363564679677</v>
      </c>
      <c r="L941" s="278"/>
      <c r="M941" s="284"/>
      <c r="N941" s="22"/>
      <c r="O941" s="218"/>
      <c r="P941" s="278"/>
      <c r="Q941" s="284">
        <f t="shared" si="81"/>
        <v>144574</v>
      </c>
      <c r="R941" s="22">
        <f t="shared" si="81"/>
        <v>143616</v>
      </c>
      <c r="S941" s="219">
        <f t="shared" si="83"/>
        <v>99.337363564679677</v>
      </c>
    </row>
    <row r="942" spans="2:19" x14ac:dyDescent="0.2">
      <c r="B942" s="78">
        <f t="shared" si="84"/>
        <v>369</v>
      </c>
      <c r="C942" s="3"/>
      <c r="D942" s="3"/>
      <c r="E942" s="3"/>
      <c r="F942" s="25" t="s">
        <v>118</v>
      </c>
      <c r="G942" s="3">
        <v>631</v>
      </c>
      <c r="H942" s="3" t="s">
        <v>139</v>
      </c>
      <c r="I942" s="18">
        <f>400+500</f>
        <v>900</v>
      </c>
      <c r="J942" s="18">
        <v>900</v>
      </c>
      <c r="K942" s="218">
        <f t="shared" si="82"/>
        <v>100</v>
      </c>
      <c r="L942" s="279"/>
      <c r="M942" s="285"/>
      <c r="N942" s="18"/>
      <c r="O942" s="218"/>
      <c r="P942" s="279"/>
      <c r="Q942" s="285">
        <f t="shared" si="81"/>
        <v>900</v>
      </c>
      <c r="R942" s="18">
        <f t="shared" si="81"/>
        <v>900</v>
      </c>
      <c r="S942" s="219">
        <f t="shared" si="83"/>
        <v>100</v>
      </c>
    </row>
    <row r="943" spans="2:19" x14ac:dyDescent="0.2">
      <c r="B943" s="78">
        <f t="shared" si="84"/>
        <v>370</v>
      </c>
      <c r="C943" s="3"/>
      <c r="D943" s="3"/>
      <c r="E943" s="3"/>
      <c r="F943" s="25" t="s">
        <v>118</v>
      </c>
      <c r="G943" s="3">
        <v>632</v>
      </c>
      <c r="H943" s="3" t="s">
        <v>146</v>
      </c>
      <c r="I943" s="18">
        <v>22900</v>
      </c>
      <c r="J943" s="18">
        <v>22900</v>
      </c>
      <c r="K943" s="218">
        <f t="shared" si="82"/>
        <v>100</v>
      </c>
      <c r="L943" s="279"/>
      <c r="M943" s="285"/>
      <c r="N943" s="18"/>
      <c r="O943" s="218"/>
      <c r="P943" s="279"/>
      <c r="Q943" s="285">
        <f t="shared" si="81"/>
        <v>22900</v>
      </c>
      <c r="R943" s="18">
        <f t="shared" si="81"/>
        <v>22900</v>
      </c>
      <c r="S943" s="219">
        <f t="shared" si="83"/>
        <v>100</v>
      </c>
    </row>
    <row r="944" spans="2:19" x14ac:dyDescent="0.2">
      <c r="B944" s="78">
        <f t="shared" si="84"/>
        <v>371</v>
      </c>
      <c r="C944" s="3"/>
      <c r="D944" s="3"/>
      <c r="E944" s="3"/>
      <c r="F944" s="25" t="s">
        <v>118</v>
      </c>
      <c r="G944" s="3">
        <v>633</v>
      </c>
      <c r="H944" s="3" t="s">
        <v>137</v>
      </c>
      <c r="I944" s="18">
        <f>35530-1900+715-8900</f>
        <v>25445</v>
      </c>
      <c r="J944" s="18">
        <v>25390</v>
      </c>
      <c r="K944" s="218">
        <f t="shared" si="82"/>
        <v>99.783847514246418</v>
      </c>
      <c r="L944" s="279"/>
      <c r="M944" s="285"/>
      <c r="N944" s="18"/>
      <c r="O944" s="218"/>
      <c r="P944" s="279"/>
      <c r="Q944" s="285">
        <f t="shared" si="81"/>
        <v>25445</v>
      </c>
      <c r="R944" s="18">
        <f t="shared" si="81"/>
        <v>25390</v>
      </c>
      <c r="S944" s="219">
        <f t="shared" si="83"/>
        <v>99.783847514246418</v>
      </c>
    </row>
    <row r="945" spans="2:19" x14ac:dyDescent="0.2">
      <c r="B945" s="78">
        <f t="shared" si="84"/>
        <v>372</v>
      </c>
      <c r="C945" s="3"/>
      <c r="D945" s="3"/>
      <c r="E945" s="3"/>
      <c r="F945" s="25" t="s">
        <v>118</v>
      </c>
      <c r="G945" s="3">
        <v>635</v>
      </c>
      <c r="H945" s="3" t="s">
        <v>145</v>
      </c>
      <c r="I945" s="18">
        <f>70300-9000</f>
        <v>61300</v>
      </c>
      <c r="J945" s="18">
        <v>61300</v>
      </c>
      <c r="K945" s="218">
        <f t="shared" si="82"/>
        <v>100</v>
      </c>
      <c r="L945" s="279"/>
      <c r="M945" s="285"/>
      <c r="N945" s="18"/>
      <c r="O945" s="218"/>
      <c r="P945" s="279"/>
      <c r="Q945" s="285">
        <f t="shared" si="81"/>
        <v>61300</v>
      </c>
      <c r="R945" s="18">
        <f t="shared" si="81"/>
        <v>61300</v>
      </c>
      <c r="S945" s="219">
        <f t="shared" si="83"/>
        <v>100</v>
      </c>
    </row>
    <row r="946" spans="2:19" x14ac:dyDescent="0.2">
      <c r="B946" s="78">
        <f t="shared" si="84"/>
        <v>373</v>
      </c>
      <c r="C946" s="3"/>
      <c r="D946" s="3"/>
      <c r="E946" s="3"/>
      <c r="F946" s="25" t="s">
        <v>118</v>
      </c>
      <c r="G946" s="3">
        <v>636</v>
      </c>
      <c r="H946" s="3" t="s">
        <v>138</v>
      </c>
      <c r="I946" s="18">
        <v>3000</v>
      </c>
      <c r="J946" s="18">
        <v>3000</v>
      </c>
      <c r="K946" s="218">
        <f t="shared" si="82"/>
        <v>100</v>
      </c>
      <c r="L946" s="279"/>
      <c r="M946" s="285"/>
      <c r="N946" s="18"/>
      <c r="O946" s="218"/>
      <c r="P946" s="279"/>
      <c r="Q946" s="285">
        <f t="shared" si="81"/>
        <v>3000</v>
      </c>
      <c r="R946" s="18">
        <f t="shared" si="81"/>
        <v>3000</v>
      </c>
      <c r="S946" s="219">
        <f t="shared" si="83"/>
        <v>100</v>
      </c>
    </row>
    <row r="947" spans="2:19" x14ac:dyDescent="0.2">
      <c r="B947" s="78">
        <f t="shared" si="84"/>
        <v>374</v>
      </c>
      <c r="C947" s="3"/>
      <c r="D947" s="3"/>
      <c r="E947" s="3"/>
      <c r="F947" s="25" t="s">
        <v>118</v>
      </c>
      <c r="G947" s="3">
        <v>637</v>
      </c>
      <c r="H947" s="3" t="s">
        <v>134</v>
      </c>
      <c r="I947" s="18">
        <f>40820-4100-5691</f>
        <v>31029</v>
      </c>
      <c r="J947" s="18">
        <v>30126</v>
      </c>
      <c r="K947" s="218">
        <f t="shared" si="82"/>
        <v>97.089819201392245</v>
      </c>
      <c r="L947" s="279"/>
      <c r="M947" s="285"/>
      <c r="N947" s="18"/>
      <c r="O947" s="218"/>
      <c r="P947" s="279"/>
      <c r="Q947" s="285">
        <f t="shared" si="81"/>
        <v>31029</v>
      </c>
      <c r="R947" s="18">
        <f t="shared" si="81"/>
        <v>30126</v>
      </c>
      <c r="S947" s="219">
        <f t="shared" si="83"/>
        <v>97.089819201392245</v>
      </c>
    </row>
    <row r="948" spans="2:19" x14ac:dyDescent="0.2">
      <c r="B948" s="78">
        <f t="shared" si="84"/>
        <v>375</v>
      </c>
      <c r="C948" s="7"/>
      <c r="D948" s="7"/>
      <c r="E948" s="7"/>
      <c r="F948" s="24" t="s">
        <v>118</v>
      </c>
      <c r="G948" s="7">
        <v>640</v>
      </c>
      <c r="H948" s="7" t="s">
        <v>141</v>
      </c>
      <c r="I948" s="22">
        <f>16585-4188</f>
        <v>12397</v>
      </c>
      <c r="J948" s="22">
        <v>12186</v>
      </c>
      <c r="K948" s="218">
        <f t="shared" si="82"/>
        <v>98.297975316608856</v>
      </c>
      <c r="L948" s="278"/>
      <c r="M948" s="284"/>
      <c r="N948" s="22"/>
      <c r="O948" s="218"/>
      <c r="P948" s="278"/>
      <c r="Q948" s="284">
        <f t="shared" si="81"/>
        <v>12397</v>
      </c>
      <c r="R948" s="22">
        <f t="shared" si="81"/>
        <v>12186</v>
      </c>
      <c r="S948" s="219">
        <f t="shared" si="83"/>
        <v>98.297975316608856</v>
      </c>
    </row>
    <row r="949" spans="2:19" x14ac:dyDescent="0.2">
      <c r="B949" s="78">
        <f t="shared" si="84"/>
        <v>376</v>
      </c>
      <c r="C949" s="7"/>
      <c r="D949" s="7"/>
      <c r="E949" s="7"/>
      <c r="F949" s="24"/>
      <c r="G949" s="7">
        <v>630</v>
      </c>
      <c r="H949" s="7" t="s">
        <v>574</v>
      </c>
      <c r="I949" s="22">
        <v>3700</v>
      </c>
      <c r="J949" s="22">
        <v>3700</v>
      </c>
      <c r="K949" s="218">
        <f t="shared" si="82"/>
        <v>100</v>
      </c>
      <c r="L949" s="278"/>
      <c r="M949" s="284"/>
      <c r="N949" s="22"/>
      <c r="O949" s="218"/>
      <c r="P949" s="278"/>
      <c r="Q949" s="284">
        <f t="shared" si="81"/>
        <v>3700</v>
      </c>
      <c r="R949" s="22">
        <f t="shared" si="81"/>
        <v>3700</v>
      </c>
      <c r="S949" s="219">
        <f t="shared" si="83"/>
        <v>100</v>
      </c>
    </row>
    <row r="950" spans="2:19" x14ac:dyDescent="0.2">
      <c r="B950" s="78">
        <f t="shared" si="84"/>
        <v>377</v>
      </c>
      <c r="C950" s="7"/>
      <c r="D950" s="7"/>
      <c r="E950" s="7"/>
      <c r="F950" s="24" t="s">
        <v>83</v>
      </c>
      <c r="G950" s="7">
        <v>630</v>
      </c>
      <c r="H950" s="7" t="s">
        <v>647</v>
      </c>
      <c r="I950" s="22">
        <v>500</v>
      </c>
      <c r="J950" s="22">
        <v>333</v>
      </c>
      <c r="K950" s="218">
        <f t="shared" si="82"/>
        <v>66.600000000000009</v>
      </c>
      <c r="L950" s="278"/>
      <c r="M950" s="284"/>
      <c r="N950" s="22"/>
      <c r="O950" s="218"/>
      <c r="P950" s="278"/>
      <c r="Q950" s="284">
        <f t="shared" si="81"/>
        <v>500</v>
      </c>
      <c r="R950" s="22">
        <f t="shared" si="81"/>
        <v>333</v>
      </c>
      <c r="S950" s="219">
        <f t="shared" si="83"/>
        <v>66.600000000000009</v>
      </c>
    </row>
    <row r="951" spans="2:19" ht="15" x14ac:dyDescent="0.25">
      <c r="B951" s="78">
        <f t="shared" si="84"/>
        <v>378</v>
      </c>
      <c r="C951" s="10"/>
      <c r="D951" s="10"/>
      <c r="E951" s="10">
        <v>13</v>
      </c>
      <c r="F951" s="27"/>
      <c r="G951" s="10"/>
      <c r="H951" s="10" t="s">
        <v>19</v>
      </c>
      <c r="I951" s="37">
        <f>I952+I953+I954+I960+I961+I962+I963+I968+I969+I970</f>
        <v>541228</v>
      </c>
      <c r="J951" s="37">
        <f>J952+J953+J954+J960+J961+J962+J963+J968+J969+J970</f>
        <v>538265</v>
      </c>
      <c r="K951" s="218">
        <f t="shared" si="82"/>
        <v>99.452541258028035</v>
      </c>
      <c r="L951" s="295"/>
      <c r="M951" s="299">
        <v>0</v>
      </c>
      <c r="N951" s="37">
        <v>0</v>
      </c>
      <c r="O951" s="218"/>
      <c r="P951" s="295"/>
      <c r="Q951" s="299">
        <f t="shared" si="81"/>
        <v>541228</v>
      </c>
      <c r="R951" s="37">
        <f t="shared" si="81"/>
        <v>538265</v>
      </c>
      <c r="S951" s="219">
        <f t="shared" si="83"/>
        <v>99.452541258028035</v>
      </c>
    </row>
    <row r="952" spans="2:19" x14ac:dyDescent="0.2">
      <c r="B952" s="78">
        <f t="shared" si="84"/>
        <v>379</v>
      </c>
      <c r="C952" s="7"/>
      <c r="D952" s="7"/>
      <c r="E952" s="7"/>
      <c r="F952" s="24" t="s">
        <v>131</v>
      </c>
      <c r="G952" s="7">
        <v>610</v>
      </c>
      <c r="H952" s="7" t="s">
        <v>143</v>
      </c>
      <c r="I952" s="22">
        <f>91076+26588+16545-26588+720</f>
        <v>108341</v>
      </c>
      <c r="J952" s="22">
        <v>108341</v>
      </c>
      <c r="K952" s="218">
        <f t="shared" si="82"/>
        <v>100</v>
      </c>
      <c r="L952" s="278"/>
      <c r="M952" s="284"/>
      <c r="N952" s="22"/>
      <c r="O952" s="218"/>
      <c r="P952" s="278"/>
      <c r="Q952" s="284">
        <f t="shared" si="81"/>
        <v>108341</v>
      </c>
      <c r="R952" s="22">
        <f t="shared" si="81"/>
        <v>108341</v>
      </c>
      <c r="S952" s="219">
        <f t="shared" si="83"/>
        <v>100</v>
      </c>
    </row>
    <row r="953" spans="2:19" x14ac:dyDescent="0.2">
      <c r="B953" s="78">
        <f t="shared" si="84"/>
        <v>380</v>
      </c>
      <c r="C953" s="7"/>
      <c r="D953" s="7"/>
      <c r="E953" s="7"/>
      <c r="F953" s="24" t="s">
        <v>131</v>
      </c>
      <c r="G953" s="7">
        <v>620</v>
      </c>
      <c r="H953" s="7" t="s">
        <v>136</v>
      </c>
      <c r="I953" s="22">
        <f>31823+9292+5782-9292+260</f>
        <v>37865</v>
      </c>
      <c r="J953" s="22">
        <v>37867</v>
      </c>
      <c r="K953" s="218">
        <f t="shared" si="82"/>
        <v>100.00528192261984</v>
      </c>
      <c r="L953" s="278"/>
      <c r="M953" s="284"/>
      <c r="N953" s="22"/>
      <c r="O953" s="218"/>
      <c r="P953" s="278"/>
      <c r="Q953" s="284">
        <f t="shared" si="81"/>
        <v>37865</v>
      </c>
      <c r="R953" s="22">
        <f t="shared" si="81"/>
        <v>37867</v>
      </c>
      <c r="S953" s="219">
        <f t="shared" si="83"/>
        <v>100.00528192261984</v>
      </c>
    </row>
    <row r="954" spans="2:19" x14ac:dyDescent="0.2">
      <c r="B954" s="78">
        <f t="shared" si="84"/>
        <v>381</v>
      </c>
      <c r="C954" s="7"/>
      <c r="D954" s="7"/>
      <c r="E954" s="7"/>
      <c r="F954" s="24" t="s">
        <v>131</v>
      </c>
      <c r="G954" s="7">
        <v>630</v>
      </c>
      <c r="H954" s="7" t="s">
        <v>133</v>
      </c>
      <c r="I954" s="22">
        <f>SUM(I955:I959)</f>
        <v>28573</v>
      </c>
      <c r="J954" s="22">
        <f>SUM(J955:J959)</f>
        <v>28173</v>
      </c>
      <c r="K954" s="218">
        <f t="shared" si="82"/>
        <v>98.600076995765235</v>
      </c>
      <c r="L954" s="278"/>
      <c r="M954" s="284"/>
      <c r="N954" s="22"/>
      <c r="O954" s="218"/>
      <c r="P954" s="278"/>
      <c r="Q954" s="284">
        <f t="shared" si="81"/>
        <v>28573</v>
      </c>
      <c r="R954" s="22">
        <f t="shared" si="81"/>
        <v>28173</v>
      </c>
      <c r="S954" s="219">
        <f t="shared" si="83"/>
        <v>98.600076995765235</v>
      </c>
    </row>
    <row r="955" spans="2:19" x14ac:dyDescent="0.2">
      <c r="B955" s="78">
        <f t="shared" si="84"/>
        <v>382</v>
      </c>
      <c r="C955" s="3"/>
      <c r="D955" s="3"/>
      <c r="E955" s="3"/>
      <c r="F955" s="25" t="s">
        <v>131</v>
      </c>
      <c r="G955" s="3">
        <v>632</v>
      </c>
      <c r="H955" s="3" t="s">
        <v>146</v>
      </c>
      <c r="I955" s="18">
        <f>22142-1375</f>
        <v>20767</v>
      </c>
      <c r="J955" s="18">
        <v>20767</v>
      </c>
      <c r="K955" s="218">
        <f t="shared" ref="K955:K1018" si="86">J955/I955*100</f>
        <v>100</v>
      </c>
      <c r="L955" s="279"/>
      <c r="M955" s="285"/>
      <c r="N955" s="18"/>
      <c r="O955" s="218"/>
      <c r="P955" s="279"/>
      <c r="Q955" s="285">
        <f t="shared" ref="Q955:R1025" si="87">I955+M955</f>
        <v>20767</v>
      </c>
      <c r="R955" s="18">
        <f t="shared" si="87"/>
        <v>20767</v>
      </c>
      <c r="S955" s="219">
        <f t="shared" si="83"/>
        <v>100</v>
      </c>
    </row>
    <row r="956" spans="2:19" x14ac:dyDescent="0.2">
      <c r="B956" s="78">
        <f t="shared" si="84"/>
        <v>383</v>
      </c>
      <c r="C956" s="3"/>
      <c r="D956" s="3"/>
      <c r="E956" s="3"/>
      <c r="F956" s="25" t="s">
        <v>131</v>
      </c>
      <c r="G956" s="3">
        <v>633</v>
      </c>
      <c r="H956" s="3" t="s">
        <v>137</v>
      </c>
      <c r="I956" s="18">
        <f>2251-875</f>
        <v>1376</v>
      </c>
      <c r="J956" s="18">
        <v>1376</v>
      </c>
      <c r="K956" s="218">
        <f t="shared" si="86"/>
        <v>100</v>
      </c>
      <c r="L956" s="279"/>
      <c r="M956" s="285"/>
      <c r="N956" s="18"/>
      <c r="O956" s="218"/>
      <c r="P956" s="279"/>
      <c r="Q956" s="285">
        <f t="shared" si="87"/>
        <v>1376</v>
      </c>
      <c r="R956" s="18">
        <f t="shared" si="87"/>
        <v>1376</v>
      </c>
      <c r="S956" s="219">
        <f t="shared" si="83"/>
        <v>100</v>
      </c>
    </row>
    <row r="957" spans="2:19" x14ac:dyDescent="0.2">
      <c r="B957" s="78">
        <f t="shared" si="84"/>
        <v>384</v>
      </c>
      <c r="C957" s="3"/>
      <c r="D957" s="3"/>
      <c r="E957" s="3"/>
      <c r="F957" s="25" t="s">
        <v>131</v>
      </c>
      <c r="G957" s="3">
        <v>634</v>
      </c>
      <c r="H957" s="3" t="s">
        <v>144</v>
      </c>
      <c r="I957" s="18">
        <v>400</v>
      </c>
      <c r="J957" s="18">
        <v>0</v>
      </c>
      <c r="K957" s="218">
        <f t="shared" si="86"/>
        <v>0</v>
      </c>
      <c r="L957" s="279"/>
      <c r="M957" s="285"/>
      <c r="N957" s="18"/>
      <c r="O957" s="218"/>
      <c r="P957" s="279"/>
      <c r="Q957" s="285">
        <f t="shared" si="87"/>
        <v>400</v>
      </c>
      <c r="R957" s="18">
        <f t="shared" si="87"/>
        <v>0</v>
      </c>
      <c r="S957" s="219">
        <f t="shared" si="83"/>
        <v>0</v>
      </c>
    </row>
    <row r="958" spans="2:19" x14ac:dyDescent="0.2">
      <c r="B958" s="78">
        <f t="shared" si="84"/>
        <v>385</v>
      </c>
      <c r="C958" s="3"/>
      <c r="D958" s="3"/>
      <c r="E958" s="3"/>
      <c r="F958" s="25" t="s">
        <v>131</v>
      </c>
      <c r="G958" s="3">
        <v>635</v>
      </c>
      <c r="H958" s="3" t="s">
        <v>145</v>
      </c>
      <c r="I958" s="18">
        <v>600</v>
      </c>
      <c r="J958" s="18">
        <v>600</v>
      </c>
      <c r="K958" s="218">
        <f t="shared" si="86"/>
        <v>100</v>
      </c>
      <c r="L958" s="279"/>
      <c r="M958" s="285"/>
      <c r="N958" s="18"/>
      <c r="O958" s="218"/>
      <c r="P958" s="279"/>
      <c r="Q958" s="285">
        <f t="shared" si="87"/>
        <v>600</v>
      </c>
      <c r="R958" s="18">
        <f t="shared" si="87"/>
        <v>600</v>
      </c>
      <c r="S958" s="219">
        <f t="shared" ref="S958:S1021" si="88">R958/Q958*100</f>
        <v>100</v>
      </c>
    </row>
    <row r="959" spans="2:19" x14ac:dyDescent="0.2">
      <c r="B959" s="78">
        <f t="shared" si="84"/>
        <v>386</v>
      </c>
      <c r="C959" s="3"/>
      <c r="D959" s="3"/>
      <c r="E959" s="3"/>
      <c r="F959" s="25" t="s">
        <v>131</v>
      </c>
      <c r="G959" s="3">
        <v>637</v>
      </c>
      <c r="H959" s="3" t="s">
        <v>134</v>
      </c>
      <c r="I959" s="18">
        <f>4930+500</f>
        <v>5430</v>
      </c>
      <c r="J959" s="18">
        <v>5430</v>
      </c>
      <c r="K959" s="218">
        <f t="shared" si="86"/>
        <v>100</v>
      </c>
      <c r="L959" s="279"/>
      <c r="M959" s="285"/>
      <c r="N959" s="18"/>
      <c r="O959" s="218"/>
      <c r="P959" s="279"/>
      <c r="Q959" s="285">
        <f t="shared" si="87"/>
        <v>5430</v>
      </c>
      <c r="R959" s="18">
        <f t="shared" si="87"/>
        <v>5430</v>
      </c>
      <c r="S959" s="219">
        <f t="shared" si="88"/>
        <v>100</v>
      </c>
    </row>
    <row r="960" spans="2:19" x14ac:dyDescent="0.2">
      <c r="B960" s="78">
        <f t="shared" si="84"/>
        <v>387</v>
      </c>
      <c r="C960" s="7"/>
      <c r="D960" s="7"/>
      <c r="E960" s="7"/>
      <c r="F960" s="24" t="s">
        <v>131</v>
      </c>
      <c r="G960" s="7">
        <v>640</v>
      </c>
      <c r="H960" s="7" t="s">
        <v>141</v>
      </c>
      <c r="I960" s="22">
        <f>160+20</f>
        <v>180</v>
      </c>
      <c r="J960" s="22">
        <v>179</v>
      </c>
      <c r="K960" s="218">
        <f t="shared" si="86"/>
        <v>99.444444444444443</v>
      </c>
      <c r="L960" s="278"/>
      <c r="M960" s="284"/>
      <c r="N960" s="22"/>
      <c r="O960" s="218"/>
      <c r="P960" s="278"/>
      <c r="Q960" s="285">
        <f t="shared" si="87"/>
        <v>180</v>
      </c>
      <c r="R960" s="18">
        <f t="shared" si="87"/>
        <v>179</v>
      </c>
      <c r="S960" s="219">
        <f t="shared" si="88"/>
        <v>99.444444444444443</v>
      </c>
    </row>
    <row r="961" spans="2:19" x14ac:dyDescent="0.2">
      <c r="B961" s="78">
        <f t="shared" ref="B961:B1024" si="89">B960+1</f>
        <v>388</v>
      </c>
      <c r="C961" s="7"/>
      <c r="D961" s="7"/>
      <c r="E961" s="7"/>
      <c r="F961" s="24" t="s">
        <v>118</v>
      </c>
      <c r="G961" s="7">
        <v>610</v>
      </c>
      <c r="H961" s="7" t="s">
        <v>143</v>
      </c>
      <c r="I961" s="22">
        <f>142537+26589+26588+1995</f>
        <v>197709</v>
      </c>
      <c r="J961" s="22">
        <v>197709</v>
      </c>
      <c r="K961" s="218">
        <f t="shared" si="86"/>
        <v>100</v>
      </c>
      <c r="L961" s="278"/>
      <c r="M961" s="284"/>
      <c r="N961" s="22"/>
      <c r="O961" s="218"/>
      <c r="P961" s="278"/>
      <c r="Q961" s="284">
        <f t="shared" si="87"/>
        <v>197709</v>
      </c>
      <c r="R961" s="22">
        <f t="shared" si="87"/>
        <v>197709</v>
      </c>
      <c r="S961" s="219">
        <f t="shared" si="88"/>
        <v>100</v>
      </c>
    </row>
    <row r="962" spans="2:19" x14ac:dyDescent="0.2">
      <c r="B962" s="78">
        <f t="shared" si="89"/>
        <v>389</v>
      </c>
      <c r="C962" s="7"/>
      <c r="D962" s="7"/>
      <c r="E962" s="7"/>
      <c r="F962" s="24" t="s">
        <v>118</v>
      </c>
      <c r="G962" s="7">
        <v>620</v>
      </c>
      <c r="H962" s="7" t="s">
        <v>136</v>
      </c>
      <c r="I962" s="22">
        <f>49824+9292+9292+626</f>
        <v>69034</v>
      </c>
      <c r="J962" s="22">
        <v>69034</v>
      </c>
      <c r="K962" s="218">
        <f t="shared" si="86"/>
        <v>100</v>
      </c>
      <c r="L962" s="278"/>
      <c r="M962" s="284"/>
      <c r="N962" s="22"/>
      <c r="O962" s="218"/>
      <c r="P962" s="278"/>
      <c r="Q962" s="284">
        <f t="shared" si="87"/>
        <v>69034</v>
      </c>
      <c r="R962" s="22">
        <f t="shared" si="87"/>
        <v>69034</v>
      </c>
      <c r="S962" s="219">
        <f t="shared" si="88"/>
        <v>100</v>
      </c>
    </row>
    <row r="963" spans="2:19" x14ac:dyDescent="0.2">
      <c r="B963" s="78">
        <f t="shared" si="89"/>
        <v>390</v>
      </c>
      <c r="C963" s="7"/>
      <c r="D963" s="7"/>
      <c r="E963" s="7"/>
      <c r="F963" s="24" t="s">
        <v>118</v>
      </c>
      <c r="G963" s="7">
        <v>630</v>
      </c>
      <c r="H963" s="7" t="s">
        <v>133</v>
      </c>
      <c r="I963" s="22">
        <f>SUM(I964:I967)</f>
        <v>73599</v>
      </c>
      <c r="J963" s="22">
        <f>SUM(J964:J967)</f>
        <v>71033</v>
      </c>
      <c r="K963" s="218">
        <f t="shared" si="86"/>
        <v>96.513539586135678</v>
      </c>
      <c r="L963" s="278"/>
      <c r="M963" s="284"/>
      <c r="N963" s="22"/>
      <c r="O963" s="218"/>
      <c r="P963" s="278"/>
      <c r="Q963" s="284">
        <f t="shared" si="87"/>
        <v>73599</v>
      </c>
      <c r="R963" s="22">
        <f t="shared" si="87"/>
        <v>71033</v>
      </c>
      <c r="S963" s="219">
        <f t="shared" si="88"/>
        <v>96.513539586135678</v>
      </c>
    </row>
    <row r="964" spans="2:19" x14ac:dyDescent="0.2">
      <c r="B964" s="78">
        <f t="shared" si="89"/>
        <v>391</v>
      </c>
      <c r="C964" s="3"/>
      <c r="D964" s="3"/>
      <c r="E964" s="3"/>
      <c r="F964" s="25" t="s">
        <v>118</v>
      </c>
      <c r="G964" s="3">
        <v>632</v>
      </c>
      <c r="H964" s="3" t="s">
        <v>146</v>
      </c>
      <c r="I964" s="18">
        <f>23392+3000+1830</f>
        <v>28222</v>
      </c>
      <c r="J964" s="18">
        <v>28222</v>
      </c>
      <c r="K964" s="218">
        <f t="shared" si="86"/>
        <v>100</v>
      </c>
      <c r="L964" s="279"/>
      <c r="M964" s="285"/>
      <c r="N964" s="18"/>
      <c r="O964" s="218"/>
      <c r="P964" s="279"/>
      <c r="Q964" s="285">
        <f t="shared" si="87"/>
        <v>28222</v>
      </c>
      <c r="R964" s="18">
        <f t="shared" si="87"/>
        <v>28222</v>
      </c>
      <c r="S964" s="219">
        <f t="shared" si="88"/>
        <v>100</v>
      </c>
    </row>
    <row r="965" spans="2:19" x14ac:dyDescent="0.2">
      <c r="B965" s="78">
        <f t="shared" si="89"/>
        <v>392</v>
      </c>
      <c r="C965" s="3"/>
      <c r="D965" s="3"/>
      <c r="E965" s="3"/>
      <c r="F965" s="25" t="s">
        <v>118</v>
      </c>
      <c r="G965" s="3">
        <v>633</v>
      </c>
      <c r="H965" s="3" t="s">
        <v>137</v>
      </c>
      <c r="I965" s="18">
        <f>6565+364+1978</f>
        <v>8907</v>
      </c>
      <c r="J965" s="18">
        <v>6751</v>
      </c>
      <c r="K965" s="218">
        <f t="shared" si="86"/>
        <v>75.794319074884925</v>
      </c>
      <c r="L965" s="279"/>
      <c r="M965" s="285"/>
      <c r="N965" s="18"/>
      <c r="O965" s="218"/>
      <c r="P965" s="279"/>
      <c r="Q965" s="285">
        <f t="shared" si="87"/>
        <v>8907</v>
      </c>
      <c r="R965" s="18">
        <f t="shared" si="87"/>
        <v>6751</v>
      </c>
      <c r="S965" s="219">
        <f t="shared" si="88"/>
        <v>75.794319074884925</v>
      </c>
    </row>
    <row r="966" spans="2:19" x14ac:dyDescent="0.2">
      <c r="B966" s="78">
        <f t="shared" si="89"/>
        <v>393</v>
      </c>
      <c r="C966" s="3"/>
      <c r="D966" s="3"/>
      <c r="E966" s="3"/>
      <c r="F966" s="25" t="s">
        <v>118</v>
      </c>
      <c r="G966" s="3">
        <v>635</v>
      </c>
      <c r="H966" s="3" t="s">
        <v>145</v>
      </c>
      <c r="I966" s="18">
        <f>23800+2700-4000</f>
        <v>22500</v>
      </c>
      <c r="J966" s="18">
        <v>22090</v>
      </c>
      <c r="K966" s="218">
        <f t="shared" si="86"/>
        <v>98.177777777777777</v>
      </c>
      <c r="L966" s="279"/>
      <c r="M966" s="285"/>
      <c r="N966" s="18"/>
      <c r="O966" s="218"/>
      <c r="P966" s="279"/>
      <c r="Q966" s="285">
        <f t="shared" si="87"/>
        <v>22500</v>
      </c>
      <c r="R966" s="18">
        <f t="shared" si="87"/>
        <v>22090</v>
      </c>
      <c r="S966" s="219">
        <f t="shared" si="88"/>
        <v>98.177777777777777</v>
      </c>
    </row>
    <row r="967" spans="2:19" x14ac:dyDescent="0.2">
      <c r="B967" s="78">
        <f t="shared" si="89"/>
        <v>394</v>
      </c>
      <c r="C967" s="3"/>
      <c r="D967" s="3"/>
      <c r="E967" s="3"/>
      <c r="F967" s="25" t="s">
        <v>118</v>
      </c>
      <c r="G967" s="3">
        <v>637</v>
      </c>
      <c r="H967" s="3" t="s">
        <v>134</v>
      </c>
      <c r="I967" s="18">
        <f>14370+1500+1000-2900</f>
        <v>13970</v>
      </c>
      <c r="J967" s="18">
        <v>13970</v>
      </c>
      <c r="K967" s="218">
        <f t="shared" si="86"/>
        <v>100</v>
      </c>
      <c r="L967" s="279"/>
      <c r="M967" s="285"/>
      <c r="N967" s="18"/>
      <c r="O967" s="218"/>
      <c r="P967" s="279"/>
      <c r="Q967" s="285">
        <f t="shared" si="87"/>
        <v>13970</v>
      </c>
      <c r="R967" s="18">
        <f t="shared" si="87"/>
        <v>13970</v>
      </c>
      <c r="S967" s="219">
        <f t="shared" si="88"/>
        <v>100</v>
      </c>
    </row>
    <row r="968" spans="2:19" x14ac:dyDescent="0.2">
      <c r="B968" s="78">
        <f t="shared" si="89"/>
        <v>395</v>
      </c>
      <c r="C968" s="7"/>
      <c r="D968" s="7"/>
      <c r="E968" s="7"/>
      <c r="F968" s="24" t="s">
        <v>118</v>
      </c>
      <c r="G968" s="7">
        <v>640</v>
      </c>
      <c r="H968" s="7" t="s">
        <v>141</v>
      </c>
      <c r="I968" s="22">
        <f>240-193</f>
        <v>47</v>
      </c>
      <c r="J968" s="22">
        <v>48</v>
      </c>
      <c r="K968" s="218">
        <f t="shared" si="86"/>
        <v>102.12765957446808</v>
      </c>
      <c r="L968" s="278"/>
      <c r="M968" s="284"/>
      <c r="N968" s="22"/>
      <c r="O968" s="218"/>
      <c r="P968" s="278"/>
      <c r="Q968" s="284">
        <f t="shared" si="87"/>
        <v>47</v>
      </c>
      <c r="R968" s="22">
        <f t="shared" si="87"/>
        <v>48</v>
      </c>
      <c r="S968" s="219">
        <f t="shared" si="88"/>
        <v>102.12765957446808</v>
      </c>
    </row>
    <row r="969" spans="2:19" x14ac:dyDescent="0.2">
      <c r="B969" s="78">
        <f t="shared" si="89"/>
        <v>396</v>
      </c>
      <c r="C969" s="7"/>
      <c r="D969" s="7"/>
      <c r="E969" s="7"/>
      <c r="F969" s="24"/>
      <c r="G969" s="7">
        <v>630</v>
      </c>
      <c r="H969" s="7" t="s">
        <v>574</v>
      </c>
      <c r="I969" s="22">
        <v>25465</v>
      </c>
      <c r="J969" s="22">
        <v>25465</v>
      </c>
      <c r="K969" s="218">
        <f t="shared" si="86"/>
        <v>100</v>
      </c>
      <c r="L969" s="278"/>
      <c r="M969" s="284"/>
      <c r="N969" s="22"/>
      <c r="O969" s="218"/>
      <c r="P969" s="278"/>
      <c r="Q969" s="284">
        <f t="shared" si="87"/>
        <v>25465</v>
      </c>
      <c r="R969" s="22">
        <f t="shared" si="87"/>
        <v>25465</v>
      </c>
      <c r="S969" s="219">
        <f t="shared" si="88"/>
        <v>100</v>
      </c>
    </row>
    <row r="970" spans="2:19" x14ac:dyDescent="0.2">
      <c r="B970" s="78">
        <f t="shared" si="89"/>
        <v>397</v>
      </c>
      <c r="C970" s="7"/>
      <c r="D970" s="7"/>
      <c r="E970" s="7"/>
      <c r="F970" s="24" t="s">
        <v>83</v>
      </c>
      <c r="G970" s="7">
        <v>630</v>
      </c>
      <c r="H970" s="7" t="s">
        <v>647</v>
      </c>
      <c r="I970" s="22">
        <v>415</v>
      </c>
      <c r="J970" s="22">
        <v>416</v>
      </c>
      <c r="K970" s="218">
        <f t="shared" si="86"/>
        <v>100.2409638554217</v>
      </c>
      <c r="L970" s="278"/>
      <c r="M970" s="284"/>
      <c r="N970" s="22"/>
      <c r="O970" s="218"/>
      <c r="P970" s="278"/>
      <c r="Q970" s="284"/>
      <c r="R970" s="22">
        <f t="shared" si="87"/>
        <v>416</v>
      </c>
      <c r="S970" s="219"/>
    </row>
    <row r="971" spans="2:19" ht="15" x14ac:dyDescent="0.2">
      <c r="B971" s="78">
        <f t="shared" si="89"/>
        <v>398</v>
      </c>
      <c r="C971" s="430">
        <v>3</v>
      </c>
      <c r="D971" s="542" t="s">
        <v>171</v>
      </c>
      <c r="E971" s="543"/>
      <c r="F971" s="543"/>
      <c r="G971" s="543"/>
      <c r="H971" s="543"/>
      <c r="I971" s="35">
        <f>I972+I982+I994+I1001+I1009+I1017+I1026+I1036+I1043+I1051+I1059+I1066</f>
        <v>2806138</v>
      </c>
      <c r="J971" s="35">
        <f>J972+J982+J994+J1001+J1009+J1017+J1026+J1036+J1043+J1051+J1059+J1066</f>
        <v>2788871</v>
      </c>
      <c r="K971" s="218">
        <f t="shared" si="86"/>
        <v>99.38467031913612</v>
      </c>
      <c r="L971" s="276"/>
      <c r="M971" s="282">
        <v>0</v>
      </c>
      <c r="N971" s="35">
        <v>0</v>
      </c>
      <c r="O971" s="218"/>
      <c r="P971" s="276"/>
      <c r="Q971" s="282">
        <f t="shared" si="87"/>
        <v>2806138</v>
      </c>
      <c r="R971" s="35">
        <f t="shared" si="87"/>
        <v>2788871</v>
      </c>
      <c r="S971" s="219">
        <f t="shared" si="88"/>
        <v>99.38467031913612</v>
      </c>
    </row>
    <row r="972" spans="2:19" x14ac:dyDescent="0.2">
      <c r="B972" s="78">
        <f t="shared" si="89"/>
        <v>399</v>
      </c>
      <c r="C972" s="7"/>
      <c r="D972" s="7"/>
      <c r="E972" s="7"/>
      <c r="F972" s="24" t="s">
        <v>170</v>
      </c>
      <c r="G972" s="7">
        <v>640</v>
      </c>
      <c r="H972" s="7" t="s">
        <v>141</v>
      </c>
      <c r="I972" s="22">
        <f>I973</f>
        <v>538475</v>
      </c>
      <c r="J972" s="22">
        <f>J973</f>
        <v>538475</v>
      </c>
      <c r="K972" s="218">
        <f t="shared" si="86"/>
        <v>100</v>
      </c>
      <c r="L972" s="278"/>
      <c r="M972" s="284"/>
      <c r="N972" s="22"/>
      <c r="O972" s="218"/>
      <c r="P972" s="278"/>
      <c r="Q972" s="284">
        <f t="shared" si="87"/>
        <v>538475</v>
      </c>
      <c r="R972" s="22">
        <f t="shared" si="87"/>
        <v>538475</v>
      </c>
      <c r="S972" s="219">
        <f t="shared" si="88"/>
        <v>100</v>
      </c>
    </row>
    <row r="973" spans="2:19" x14ac:dyDescent="0.2">
      <c r="B973" s="78">
        <f t="shared" si="89"/>
        <v>400</v>
      </c>
      <c r="C973" s="3"/>
      <c r="D973" s="3"/>
      <c r="E973" s="3"/>
      <c r="F973" s="25" t="s">
        <v>170</v>
      </c>
      <c r="G973" s="3">
        <v>642</v>
      </c>
      <c r="H973" s="3" t="s">
        <v>142</v>
      </c>
      <c r="I973" s="60">
        <f>SUM(I974:I981)</f>
        <v>538475</v>
      </c>
      <c r="J973" s="60">
        <f>SUM(J974:J981)</f>
        <v>538475</v>
      </c>
      <c r="K973" s="218">
        <f t="shared" si="86"/>
        <v>100</v>
      </c>
      <c r="L973" s="279"/>
      <c r="M973" s="285"/>
      <c r="N973" s="18"/>
      <c r="O973" s="218"/>
      <c r="P973" s="279"/>
      <c r="Q973" s="285">
        <f t="shared" si="87"/>
        <v>538475</v>
      </c>
      <c r="R973" s="18">
        <f t="shared" si="87"/>
        <v>538475</v>
      </c>
      <c r="S973" s="219">
        <f t="shared" si="88"/>
        <v>100</v>
      </c>
    </row>
    <row r="974" spans="2:19" x14ac:dyDescent="0.2">
      <c r="B974" s="78">
        <f t="shared" si="89"/>
        <v>401</v>
      </c>
      <c r="C974" s="4"/>
      <c r="D974" s="4"/>
      <c r="E974" s="4"/>
      <c r="F974" s="26"/>
      <c r="G974" s="4"/>
      <c r="H974" s="4" t="s">
        <v>533</v>
      </c>
      <c r="I974" s="38">
        <f>16206+403</f>
        <v>16609</v>
      </c>
      <c r="J974" s="38">
        <v>16609</v>
      </c>
      <c r="K974" s="218">
        <f t="shared" si="86"/>
        <v>100</v>
      </c>
      <c r="L974" s="280"/>
      <c r="M974" s="286"/>
      <c r="N974" s="20"/>
      <c r="O974" s="218"/>
      <c r="P974" s="280"/>
      <c r="Q974" s="286">
        <f t="shared" si="87"/>
        <v>16609</v>
      </c>
      <c r="R974" s="20">
        <f t="shared" si="87"/>
        <v>16609</v>
      </c>
      <c r="S974" s="219">
        <f t="shared" si="88"/>
        <v>100</v>
      </c>
    </row>
    <row r="975" spans="2:19" x14ac:dyDescent="0.2">
      <c r="B975" s="78">
        <f t="shared" si="89"/>
        <v>402</v>
      </c>
      <c r="C975" s="4"/>
      <c r="D975" s="4"/>
      <c r="E975" s="4"/>
      <c r="F975" s="26"/>
      <c r="G975" s="4"/>
      <c r="H975" s="4" t="s">
        <v>534</v>
      </c>
      <c r="I975" s="38">
        <f>17321+8456</f>
        <v>25777</v>
      </c>
      <c r="J975" s="38">
        <v>25777</v>
      </c>
      <c r="K975" s="218">
        <f t="shared" si="86"/>
        <v>100</v>
      </c>
      <c r="L975" s="280"/>
      <c r="M975" s="286"/>
      <c r="N975" s="20"/>
      <c r="O975" s="218"/>
      <c r="P975" s="280"/>
      <c r="Q975" s="286">
        <f t="shared" si="87"/>
        <v>25777</v>
      </c>
      <c r="R975" s="20">
        <f t="shared" si="87"/>
        <v>25777</v>
      </c>
      <c r="S975" s="219">
        <f t="shared" si="88"/>
        <v>100</v>
      </c>
    </row>
    <row r="976" spans="2:19" ht="22.5" x14ac:dyDescent="0.2">
      <c r="B976" s="78">
        <f t="shared" si="89"/>
        <v>403</v>
      </c>
      <c r="C976" s="4"/>
      <c r="D976" s="4"/>
      <c r="E976" s="4"/>
      <c r="F976" s="26"/>
      <c r="G976" s="4"/>
      <c r="H976" s="33" t="s">
        <v>535</v>
      </c>
      <c r="I976" s="38">
        <f>12432+310</f>
        <v>12742</v>
      </c>
      <c r="J976" s="38">
        <v>12742</v>
      </c>
      <c r="K976" s="218">
        <f t="shared" si="86"/>
        <v>100</v>
      </c>
      <c r="L976" s="280"/>
      <c r="M976" s="286"/>
      <c r="N976" s="20"/>
      <c r="O976" s="218"/>
      <c r="P976" s="280"/>
      <c r="Q976" s="286">
        <f t="shared" si="87"/>
        <v>12742</v>
      </c>
      <c r="R976" s="20">
        <f t="shared" si="87"/>
        <v>12742</v>
      </c>
      <c r="S976" s="219">
        <f t="shared" si="88"/>
        <v>100</v>
      </c>
    </row>
    <row r="977" spans="2:19" x14ac:dyDescent="0.2">
      <c r="B977" s="78">
        <f t="shared" si="89"/>
        <v>404</v>
      </c>
      <c r="C977" s="4"/>
      <c r="D977" s="4"/>
      <c r="E977" s="4"/>
      <c r="F977" s="26"/>
      <c r="G977" s="4"/>
      <c r="H977" s="4" t="s">
        <v>536</v>
      </c>
      <c r="I977" s="38">
        <f>13439+6560</f>
        <v>19999</v>
      </c>
      <c r="J977" s="38">
        <v>19999</v>
      </c>
      <c r="K977" s="218">
        <f t="shared" si="86"/>
        <v>100</v>
      </c>
      <c r="L977" s="280"/>
      <c r="M977" s="286"/>
      <c r="N977" s="20"/>
      <c r="O977" s="218"/>
      <c r="P977" s="280"/>
      <c r="Q977" s="286">
        <f t="shared" si="87"/>
        <v>19999</v>
      </c>
      <c r="R977" s="20">
        <f t="shared" si="87"/>
        <v>19999</v>
      </c>
      <c r="S977" s="219">
        <f t="shared" si="88"/>
        <v>100</v>
      </c>
    </row>
    <row r="978" spans="2:19" x14ac:dyDescent="0.2">
      <c r="B978" s="78">
        <f t="shared" si="89"/>
        <v>405</v>
      </c>
      <c r="C978" s="4"/>
      <c r="D978" s="4"/>
      <c r="E978" s="4"/>
      <c r="F978" s="26"/>
      <c r="G978" s="4"/>
      <c r="H978" s="4" t="s">
        <v>537</v>
      </c>
      <c r="I978" s="38">
        <f>144907+826</f>
        <v>145733</v>
      </c>
      <c r="J978" s="38">
        <v>145733</v>
      </c>
      <c r="K978" s="218">
        <f t="shared" si="86"/>
        <v>100</v>
      </c>
      <c r="L978" s="280"/>
      <c r="M978" s="286"/>
      <c r="N978" s="20"/>
      <c r="O978" s="218"/>
      <c r="P978" s="280"/>
      <c r="Q978" s="286">
        <f t="shared" si="87"/>
        <v>145733</v>
      </c>
      <c r="R978" s="20">
        <f t="shared" si="87"/>
        <v>145733</v>
      </c>
      <c r="S978" s="219">
        <f t="shared" si="88"/>
        <v>100</v>
      </c>
    </row>
    <row r="979" spans="2:19" x14ac:dyDescent="0.2">
      <c r="B979" s="78">
        <f t="shared" si="89"/>
        <v>406</v>
      </c>
      <c r="C979" s="4"/>
      <c r="D979" s="4"/>
      <c r="E979" s="4"/>
      <c r="F979" s="26"/>
      <c r="G979" s="4"/>
      <c r="H979" s="4" t="s">
        <v>538</v>
      </c>
      <c r="I979" s="38">
        <f>284286+1628</f>
        <v>285914</v>
      </c>
      <c r="J979" s="38">
        <v>285914</v>
      </c>
      <c r="K979" s="218">
        <f t="shared" si="86"/>
        <v>100</v>
      </c>
      <c r="L979" s="280"/>
      <c r="M979" s="286"/>
      <c r="N979" s="20"/>
      <c r="O979" s="218"/>
      <c r="P979" s="280"/>
      <c r="Q979" s="286">
        <f t="shared" si="87"/>
        <v>285914</v>
      </c>
      <c r="R979" s="20">
        <f t="shared" si="87"/>
        <v>285914</v>
      </c>
      <c r="S979" s="219">
        <f t="shared" si="88"/>
        <v>100</v>
      </c>
    </row>
    <row r="980" spans="2:19" x14ac:dyDescent="0.2">
      <c r="B980" s="78">
        <f t="shared" si="89"/>
        <v>407</v>
      </c>
      <c r="C980" s="4"/>
      <c r="D980" s="4"/>
      <c r="E980" s="4"/>
      <c r="F980" s="26"/>
      <c r="G980" s="4"/>
      <c r="H980" s="4" t="s">
        <v>539</v>
      </c>
      <c r="I980" s="38">
        <f>29311+167</f>
        <v>29478</v>
      </c>
      <c r="J980" s="38">
        <v>29478</v>
      </c>
      <c r="K980" s="218">
        <f t="shared" si="86"/>
        <v>100</v>
      </c>
      <c r="L980" s="280"/>
      <c r="M980" s="286"/>
      <c r="N980" s="20"/>
      <c r="O980" s="218"/>
      <c r="P980" s="280"/>
      <c r="Q980" s="286">
        <f t="shared" si="87"/>
        <v>29478</v>
      </c>
      <c r="R980" s="20">
        <f t="shared" si="87"/>
        <v>29478</v>
      </c>
      <c r="S980" s="219">
        <f t="shared" si="88"/>
        <v>100</v>
      </c>
    </row>
    <row r="981" spans="2:19" ht="22.5" x14ac:dyDescent="0.2">
      <c r="B981" s="190">
        <f t="shared" si="89"/>
        <v>408</v>
      </c>
      <c r="C981" s="134"/>
      <c r="D981" s="134"/>
      <c r="E981" s="134"/>
      <c r="F981" s="135"/>
      <c r="G981" s="134"/>
      <c r="H981" s="153" t="s">
        <v>545</v>
      </c>
      <c r="I981" s="221">
        <f>1494+729</f>
        <v>2223</v>
      </c>
      <c r="J981" s="221">
        <v>2223</v>
      </c>
      <c r="K981" s="218">
        <f t="shared" si="86"/>
        <v>100</v>
      </c>
      <c r="L981" s="296"/>
      <c r="M981" s="301"/>
      <c r="N981" s="136"/>
      <c r="O981" s="218"/>
      <c r="P981" s="296"/>
      <c r="Q981" s="301">
        <f t="shared" si="87"/>
        <v>2223</v>
      </c>
      <c r="R981" s="136">
        <f t="shared" si="87"/>
        <v>2223</v>
      </c>
      <c r="S981" s="349">
        <f t="shared" si="88"/>
        <v>100</v>
      </c>
    </row>
    <row r="982" spans="2:19" ht="15" x14ac:dyDescent="0.25">
      <c r="B982" s="78">
        <f t="shared" si="89"/>
        <v>409</v>
      </c>
      <c r="C982" s="10"/>
      <c r="D982" s="10"/>
      <c r="E982" s="10">
        <v>1</v>
      </c>
      <c r="F982" s="27"/>
      <c r="G982" s="10"/>
      <c r="H982" s="10" t="s">
        <v>54</v>
      </c>
      <c r="I982" s="37">
        <f>I983+I984+I985+I993</f>
        <v>198617</v>
      </c>
      <c r="J982" s="37">
        <f>J983+J984+J985+J993</f>
        <v>183209</v>
      </c>
      <c r="K982" s="218">
        <f t="shared" si="86"/>
        <v>92.242355890986175</v>
      </c>
      <c r="L982" s="295"/>
      <c r="M982" s="299">
        <v>0</v>
      </c>
      <c r="N982" s="37">
        <v>0</v>
      </c>
      <c r="O982" s="218"/>
      <c r="P982" s="295"/>
      <c r="Q982" s="299">
        <f t="shared" si="87"/>
        <v>198617</v>
      </c>
      <c r="R982" s="37">
        <f t="shared" si="87"/>
        <v>183209</v>
      </c>
      <c r="S982" s="219">
        <f t="shared" si="88"/>
        <v>92.242355890986175</v>
      </c>
    </row>
    <row r="983" spans="2:19" x14ac:dyDescent="0.2">
      <c r="B983" s="78">
        <f t="shared" si="89"/>
        <v>410</v>
      </c>
      <c r="C983" s="7"/>
      <c r="D983" s="7"/>
      <c r="E983" s="7"/>
      <c r="F983" s="24" t="s">
        <v>170</v>
      </c>
      <c r="G983" s="7">
        <v>610</v>
      </c>
      <c r="H983" s="7" t="s">
        <v>143</v>
      </c>
      <c r="I983" s="22">
        <v>97700</v>
      </c>
      <c r="J983" s="22">
        <v>90125</v>
      </c>
      <c r="K983" s="218">
        <f t="shared" si="86"/>
        <v>92.246673490276351</v>
      </c>
      <c r="L983" s="278"/>
      <c r="M983" s="284"/>
      <c r="N983" s="22"/>
      <c r="O983" s="218"/>
      <c r="P983" s="278"/>
      <c r="Q983" s="284">
        <f t="shared" si="87"/>
        <v>97700</v>
      </c>
      <c r="R983" s="22">
        <f t="shared" si="87"/>
        <v>90125</v>
      </c>
      <c r="S983" s="219">
        <f t="shared" si="88"/>
        <v>92.246673490276351</v>
      </c>
    </row>
    <row r="984" spans="2:19" x14ac:dyDescent="0.2">
      <c r="B984" s="78">
        <f t="shared" si="89"/>
        <v>411</v>
      </c>
      <c r="C984" s="7"/>
      <c r="D984" s="7"/>
      <c r="E984" s="7"/>
      <c r="F984" s="24" t="s">
        <v>170</v>
      </c>
      <c r="G984" s="7">
        <v>620</v>
      </c>
      <c r="H984" s="7" t="s">
        <v>136</v>
      </c>
      <c r="I984" s="22">
        <f>36640+350+57+111</f>
        <v>37158</v>
      </c>
      <c r="J984" s="22">
        <v>34334</v>
      </c>
      <c r="K984" s="218">
        <f t="shared" si="86"/>
        <v>92.400021529684054</v>
      </c>
      <c r="L984" s="278"/>
      <c r="M984" s="284"/>
      <c r="N984" s="22"/>
      <c r="O984" s="218"/>
      <c r="P984" s="278"/>
      <c r="Q984" s="284">
        <f t="shared" si="87"/>
        <v>37158</v>
      </c>
      <c r="R984" s="22">
        <f t="shared" si="87"/>
        <v>34334</v>
      </c>
      <c r="S984" s="219">
        <f t="shared" si="88"/>
        <v>92.400021529684054</v>
      </c>
    </row>
    <row r="985" spans="2:19" x14ac:dyDescent="0.2">
      <c r="B985" s="78">
        <f t="shared" si="89"/>
        <v>412</v>
      </c>
      <c r="C985" s="7"/>
      <c r="D985" s="7"/>
      <c r="E985" s="7"/>
      <c r="F985" s="24" t="s">
        <v>170</v>
      </c>
      <c r="G985" s="7">
        <v>630</v>
      </c>
      <c r="H985" s="7" t="s">
        <v>133</v>
      </c>
      <c r="I985" s="22">
        <f>SUM(I986:I992)</f>
        <v>62776</v>
      </c>
      <c r="J985" s="22">
        <f>SUM(J986:J992)</f>
        <v>57767</v>
      </c>
      <c r="K985" s="218">
        <f t="shared" si="86"/>
        <v>92.020835988275778</v>
      </c>
      <c r="L985" s="278"/>
      <c r="M985" s="284"/>
      <c r="N985" s="22"/>
      <c r="O985" s="218"/>
      <c r="P985" s="278"/>
      <c r="Q985" s="284">
        <f t="shared" si="87"/>
        <v>62776</v>
      </c>
      <c r="R985" s="22">
        <f t="shared" si="87"/>
        <v>57767</v>
      </c>
      <c r="S985" s="219">
        <f t="shared" si="88"/>
        <v>92.020835988275778</v>
      </c>
    </row>
    <row r="986" spans="2:19" x14ac:dyDescent="0.2">
      <c r="B986" s="78">
        <f t="shared" si="89"/>
        <v>413</v>
      </c>
      <c r="C986" s="3"/>
      <c r="D986" s="3"/>
      <c r="E986" s="3"/>
      <c r="F986" s="25" t="s">
        <v>170</v>
      </c>
      <c r="G986" s="3">
        <v>631</v>
      </c>
      <c r="H986" s="3" t="s">
        <v>139</v>
      </c>
      <c r="I986" s="18">
        <f>400-380+45</f>
        <v>65</v>
      </c>
      <c r="J986" s="18">
        <v>63</v>
      </c>
      <c r="K986" s="218">
        <f t="shared" si="86"/>
        <v>96.92307692307692</v>
      </c>
      <c r="L986" s="279"/>
      <c r="M986" s="285"/>
      <c r="N986" s="18"/>
      <c r="O986" s="218"/>
      <c r="P986" s="279"/>
      <c r="Q986" s="285">
        <f t="shared" si="87"/>
        <v>65</v>
      </c>
      <c r="R986" s="18">
        <f t="shared" si="87"/>
        <v>63</v>
      </c>
      <c r="S986" s="219">
        <f t="shared" si="88"/>
        <v>96.92307692307692</v>
      </c>
    </row>
    <row r="987" spans="2:19" x14ac:dyDescent="0.2">
      <c r="B987" s="78">
        <f t="shared" si="89"/>
        <v>414</v>
      </c>
      <c r="C987" s="3"/>
      <c r="D987" s="3"/>
      <c r="E987" s="3"/>
      <c r="F987" s="25" t="s">
        <v>170</v>
      </c>
      <c r="G987" s="3">
        <v>632</v>
      </c>
      <c r="H987" s="3" t="s">
        <v>146</v>
      </c>
      <c r="I987" s="18">
        <v>7400</v>
      </c>
      <c r="J987" s="18">
        <v>7157</v>
      </c>
      <c r="K987" s="218">
        <f t="shared" si="86"/>
        <v>96.71621621621621</v>
      </c>
      <c r="L987" s="279"/>
      <c r="M987" s="285"/>
      <c r="N987" s="18"/>
      <c r="O987" s="218"/>
      <c r="P987" s="279"/>
      <c r="Q987" s="285">
        <f t="shared" si="87"/>
        <v>7400</v>
      </c>
      <c r="R987" s="18">
        <f t="shared" si="87"/>
        <v>7157</v>
      </c>
      <c r="S987" s="219">
        <f t="shared" si="88"/>
        <v>96.71621621621621</v>
      </c>
    </row>
    <row r="988" spans="2:19" x14ac:dyDescent="0.2">
      <c r="B988" s="78">
        <f t="shared" si="89"/>
        <v>415</v>
      </c>
      <c r="C988" s="3"/>
      <c r="D988" s="3"/>
      <c r="E988" s="3"/>
      <c r="F988" s="25" t="s">
        <v>170</v>
      </c>
      <c r="G988" s="3">
        <v>633</v>
      </c>
      <c r="H988" s="3" t="s">
        <v>137</v>
      </c>
      <c r="I988" s="18">
        <f>16152+3000+4540-1830-1827</f>
        <v>20035</v>
      </c>
      <c r="J988" s="18">
        <v>16818</v>
      </c>
      <c r="K988" s="218">
        <f t="shared" si="86"/>
        <v>83.943099575742451</v>
      </c>
      <c r="L988" s="279"/>
      <c r="M988" s="285"/>
      <c r="N988" s="18"/>
      <c r="O988" s="218"/>
      <c r="P988" s="279"/>
      <c r="Q988" s="285">
        <f t="shared" si="87"/>
        <v>20035</v>
      </c>
      <c r="R988" s="18">
        <f t="shared" si="87"/>
        <v>16818</v>
      </c>
      <c r="S988" s="219">
        <f t="shared" si="88"/>
        <v>83.943099575742451</v>
      </c>
    </row>
    <row r="989" spans="2:19" x14ac:dyDescent="0.2">
      <c r="B989" s="78">
        <f t="shared" si="89"/>
        <v>416</v>
      </c>
      <c r="C989" s="3"/>
      <c r="D989" s="3"/>
      <c r="E989" s="3"/>
      <c r="F989" s="25" t="s">
        <v>170</v>
      </c>
      <c r="G989" s="3">
        <v>634</v>
      </c>
      <c r="H989" s="3" t="s">
        <v>144</v>
      </c>
      <c r="I989" s="18">
        <v>1500</v>
      </c>
      <c r="J989" s="18">
        <v>1456</v>
      </c>
      <c r="K989" s="218">
        <f t="shared" si="86"/>
        <v>97.066666666666663</v>
      </c>
      <c r="L989" s="279"/>
      <c r="M989" s="285"/>
      <c r="N989" s="18"/>
      <c r="O989" s="218"/>
      <c r="P989" s="279"/>
      <c r="Q989" s="285">
        <f t="shared" si="87"/>
        <v>1500</v>
      </c>
      <c r="R989" s="18">
        <f t="shared" si="87"/>
        <v>1456</v>
      </c>
      <c r="S989" s="219">
        <f t="shared" si="88"/>
        <v>97.066666666666663</v>
      </c>
    </row>
    <row r="990" spans="2:19" x14ac:dyDescent="0.2">
      <c r="B990" s="78">
        <f t="shared" si="89"/>
        <v>417</v>
      </c>
      <c r="C990" s="3"/>
      <c r="D990" s="3"/>
      <c r="E990" s="3"/>
      <c r="F990" s="25" t="s">
        <v>170</v>
      </c>
      <c r="G990" s="3">
        <v>635</v>
      </c>
      <c r="H990" s="3" t="s">
        <v>145</v>
      </c>
      <c r="I990" s="18">
        <f>500+1000+1700</f>
        <v>3200</v>
      </c>
      <c r="J990" s="18">
        <v>3089</v>
      </c>
      <c r="K990" s="218">
        <f t="shared" si="86"/>
        <v>96.53125</v>
      </c>
      <c r="L990" s="279"/>
      <c r="M990" s="285"/>
      <c r="N990" s="18"/>
      <c r="O990" s="218"/>
      <c r="P990" s="279"/>
      <c r="Q990" s="285">
        <f t="shared" si="87"/>
        <v>3200</v>
      </c>
      <c r="R990" s="18">
        <f t="shared" si="87"/>
        <v>3089</v>
      </c>
      <c r="S990" s="219">
        <f t="shared" si="88"/>
        <v>96.53125</v>
      </c>
    </row>
    <row r="991" spans="2:19" x14ac:dyDescent="0.2">
      <c r="B991" s="78">
        <f t="shared" si="89"/>
        <v>418</v>
      </c>
      <c r="C991" s="3"/>
      <c r="D991" s="3"/>
      <c r="E991" s="3"/>
      <c r="F991" s="25" t="s">
        <v>170</v>
      </c>
      <c r="G991" s="3">
        <v>636</v>
      </c>
      <c r="H991" s="3" t="s">
        <v>138</v>
      </c>
      <c r="I991" s="18">
        <v>206</v>
      </c>
      <c r="J991" s="18">
        <v>205</v>
      </c>
      <c r="K991" s="218">
        <f t="shared" si="86"/>
        <v>99.514563106796118</v>
      </c>
      <c r="L991" s="279"/>
      <c r="M991" s="285"/>
      <c r="N991" s="18"/>
      <c r="O991" s="218"/>
      <c r="P991" s="279"/>
      <c r="Q991" s="285">
        <f t="shared" si="87"/>
        <v>206</v>
      </c>
      <c r="R991" s="18">
        <f t="shared" si="87"/>
        <v>205</v>
      </c>
      <c r="S991" s="219">
        <f t="shared" si="88"/>
        <v>99.514563106796118</v>
      </c>
    </row>
    <row r="992" spans="2:19" x14ac:dyDescent="0.2">
      <c r="B992" s="78">
        <f t="shared" si="89"/>
        <v>419</v>
      </c>
      <c r="C992" s="3"/>
      <c r="D992" s="3"/>
      <c r="E992" s="3"/>
      <c r="F992" s="25" t="s">
        <v>170</v>
      </c>
      <c r="G992" s="3">
        <v>637</v>
      </c>
      <c r="H992" s="3" t="s">
        <v>134</v>
      </c>
      <c r="I992" s="18">
        <f>17300+3000+3000+4850-350+2681-111</f>
        <v>30370</v>
      </c>
      <c r="J992" s="18">
        <v>28979</v>
      </c>
      <c r="K992" s="218">
        <f t="shared" si="86"/>
        <v>95.419822192953575</v>
      </c>
      <c r="L992" s="279"/>
      <c r="M992" s="285"/>
      <c r="N992" s="18"/>
      <c r="O992" s="218"/>
      <c r="P992" s="279"/>
      <c r="Q992" s="285">
        <f t="shared" si="87"/>
        <v>30370</v>
      </c>
      <c r="R992" s="18">
        <f t="shared" si="87"/>
        <v>28979</v>
      </c>
      <c r="S992" s="219">
        <f t="shared" si="88"/>
        <v>95.419822192953575</v>
      </c>
    </row>
    <row r="993" spans="2:19" x14ac:dyDescent="0.2">
      <c r="B993" s="78">
        <f t="shared" si="89"/>
        <v>420</v>
      </c>
      <c r="C993" s="7"/>
      <c r="D993" s="7"/>
      <c r="E993" s="7"/>
      <c r="F993" s="24" t="s">
        <v>170</v>
      </c>
      <c r="G993" s="7">
        <v>640</v>
      </c>
      <c r="H993" s="7" t="s">
        <v>141</v>
      </c>
      <c r="I993" s="22">
        <f>500+380+103</f>
        <v>983</v>
      </c>
      <c r="J993" s="22">
        <v>983</v>
      </c>
      <c r="K993" s="218">
        <f t="shared" si="86"/>
        <v>100</v>
      </c>
      <c r="L993" s="278"/>
      <c r="M993" s="284"/>
      <c r="N993" s="22"/>
      <c r="O993" s="218"/>
      <c r="P993" s="278"/>
      <c r="Q993" s="284">
        <f t="shared" si="87"/>
        <v>983</v>
      </c>
      <c r="R993" s="22">
        <f t="shared" si="87"/>
        <v>983</v>
      </c>
      <c r="S993" s="219">
        <f t="shared" si="88"/>
        <v>100</v>
      </c>
    </row>
    <row r="994" spans="2:19" ht="15" x14ac:dyDescent="0.25">
      <c r="B994" s="78">
        <f t="shared" si="89"/>
        <v>421</v>
      </c>
      <c r="C994" s="10"/>
      <c r="D994" s="10"/>
      <c r="E994" s="10">
        <v>4</v>
      </c>
      <c r="F994" s="27"/>
      <c r="G994" s="10"/>
      <c r="H994" s="10" t="s">
        <v>90</v>
      </c>
      <c r="I994" s="37">
        <f>I995+I996+I997</f>
        <v>14094</v>
      </c>
      <c r="J994" s="37">
        <f>J995+J996+J997</f>
        <v>14094</v>
      </c>
      <c r="K994" s="218">
        <f t="shared" si="86"/>
        <v>100</v>
      </c>
      <c r="L994" s="295"/>
      <c r="M994" s="299">
        <v>0</v>
      </c>
      <c r="N994" s="37">
        <v>0</v>
      </c>
      <c r="O994" s="218"/>
      <c r="P994" s="295"/>
      <c r="Q994" s="299">
        <f t="shared" si="87"/>
        <v>14094</v>
      </c>
      <c r="R994" s="37">
        <f t="shared" si="87"/>
        <v>14094</v>
      </c>
      <c r="S994" s="219">
        <f t="shared" si="88"/>
        <v>100</v>
      </c>
    </row>
    <row r="995" spans="2:19" x14ac:dyDescent="0.2">
      <c r="B995" s="78">
        <f t="shared" si="89"/>
        <v>422</v>
      </c>
      <c r="C995" s="7"/>
      <c r="D995" s="7"/>
      <c r="E995" s="7"/>
      <c r="F995" s="24" t="s">
        <v>170</v>
      </c>
      <c r="G995" s="7">
        <v>610</v>
      </c>
      <c r="H995" s="7" t="s">
        <v>143</v>
      </c>
      <c r="I995" s="22">
        <f>8535+1020</f>
        <v>9555</v>
      </c>
      <c r="J995" s="22">
        <v>9555</v>
      </c>
      <c r="K995" s="218">
        <f t="shared" si="86"/>
        <v>100</v>
      </c>
      <c r="L995" s="278"/>
      <c r="M995" s="284"/>
      <c r="N995" s="22"/>
      <c r="O995" s="218"/>
      <c r="P995" s="278"/>
      <c r="Q995" s="284">
        <f t="shared" si="87"/>
        <v>9555</v>
      </c>
      <c r="R995" s="22">
        <f t="shared" si="87"/>
        <v>9555</v>
      </c>
      <c r="S995" s="219">
        <f t="shared" si="88"/>
        <v>100</v>
      </c>
    </row>
    <row r="996" spans="2:19" x14ac:dyDescent="0.2">
      <c r="B996" s="78">
        <f t="shared" si="89"/>
        <v>423</v>
      </c>
      <c r="C996" s="7"/>
      <c r="D996" s="7"/>
      <c r="E996" s="7"/>
      <c r="F996" s="24" t="s">
        <v>170</v>
      </c>
      <c r="G996" s="7">
        <v>620</v>
      </c>
      <c r="H996" s="7" t="s">
        <v>136</v>
      </c>
      <c r="I996" s="22">
        <f>2982+377</f>
        <v>3359</v>
      </c>
      <c r="J996" s="22">
        <v>3359</v>
      </c>
      <c r="K996" s="218">
        <f t="shared" si="86"/>
        <v>100</v>
      </c>
      <c r="L996" s="278"/>
      <c r="M996" s="284"/>
      <c r="N996" s="22"/>
      <c r="O996" s="218"/>
      <c r="P996" s="278"/>
      <c r="Q996" s="284">
        <f t="shared" si="87"/>
        <v>3359</v>
      </c>
      <c r="R996" s="22">
        <f t="shared" si="87"/>
        <v>3359</v>
      </c>
      <c r="S996" s="219">
        <f t="shared" si="88"/>
        <v>100</v>
      </c>
    </row>
    <row r="997" spans="2:19" x14ac:dyDescent="0.2">
      <c r="B997" s="78">
        <f t="shared" si="89"/>
        <v>424</v>
      </c>
      <c r="C997" s="7"/>
      <c r="D997" s="7"/>
      <c r="E997" s="7"/>
      <c r="F997" s="24" t="s">
        <v>170</v>
      </c>
      <c r="G997" s="7">
        <v>630</v>
      </c>
      <c r="H997" s="7" t="s">
        <v>133</v>
      </c>
      <c r="I997" s="22">
        <f>SUM(I998:I1000)</f>
        <v>1180</v>
      </c>
      <c r="J997" s="22">
        <f>SUM(J998:J1000)</f>
        <v>1180</v>
      </c>
      <c r="K997" s="218">
        <f t="shared" si="86"/>
        <v>100</v>
      </c>
      <c r="L997" s="278"/>
      <c r="M997" s="284"/>
      <c r="N997" s="22"/>
      <c r="O997" s="218"/>
      <c r="P997" s="278"/>
      <c r="Q997" s="284">
        <f t="shared" si="87"/>
        <v>1180</v>
      </c>
      <c r="R997" s="22">
        <f t="shared" si="87"/>
        <v>1180</v>
      </c>
      <c r="S997" s="219">
        <f t="shared" si="88"/>
        <v>100</v>
      </c>
    </row>
    <row r="998" spans="2:19" x14ac:dyDescent="0.2">
      <c r="B998" s="78">
        <f t="shared" si="89"/>
        <v>425</v>
      </c>
      <c r="C998" s="3"/>
      <c r="D998" s="3"/>
      <c r="E998" s="3"/>
      <c r="F998" s="25" t="s">
        <v>170</v>
      </c>
      <c r="G998" s="3">
        <v>632</v>
      </c>
      <c r="H998" s="3" t="s">
        <v>146</v>
      </c>
      <c r="I998" s="18">
        <v>600</v>
      </c>
      <c r="J998" s="18">
        <v>600</v>
      </c>
      <c r="K998" s="218">
        <f t="shared" si="86"/>
        <v>100</v>
      </c>
      <c r="L998" s="279"/>
      <c r="M998" s="285"/>
      <c r="N998" s="18"/>
      <c r="O998" s="218"/>
      <c r="P998" s="279"/>
      <c r="Q998" s="285">
        <f t="shared" si="87"/>
        <v>600</v>
      </c>
      <c r="R998" s="18">
        <f t="shared" si="87"/>
        <v>600</v>
      </c>
      <c r="S998" s="219">
        <f t="shared" si="88"/>
        <v>100</v>
      </c>
    </row>
    <row r="999" spans="2:19" x14ac:dyDescent="0.2">
      <c r="B999" s="78">
        <f t="shared" si="89"/>
        <v>426</v>
      </c>
      <c r="C999" s="3"/>
      <c r="D999" s="3"/>
      <c r="E999" s="3"/>
      <c r="F999" s="25" t="s">
        <v>170</v>
      </c>
      <c r="G999" s="3">
        <v>633</v>
      </c>
      <c r="H999" s="3" t="s">
        <v>137</v>
      </c>
      <c r="I999" s="18">
        <v>450</v>
      </c>
      <c r="J999" s="18">
        <v>450</v>
      </c>
      <c r="K999" s="218">
        <f t="shared" si="86"/>
        <v>100</v>
      </c>
      <c r="L999" s="279"/>
      <c r="M999" s="285"/>
      <c r="N999" s="18"/>
      <c r="O999" s="218"/>
      <c r="P999" s="279"/>
      <c r="Q999" s="285">
        <f t="shared" si="87"/>
        <v>450</v>
      </c>
      <c r="R999" s="18">
        <f t="shared" si="87"/>
        <v>450</v>
      </c>
      <c r="S999" s="219">
        <f t="shared" si="88"/>
        <v>100</v>
      </c>
    </row>
    <row r="1000" spans="2:19" x14ac:dyDescent="0.2">
      <c r="B1000" s="78">
        <f t="shared" si="89"/>
        <v>427</v>
      </c>
      <c r="C1000" s="3"/>
      <c r="D1000" s="3"/>
      <c r="E1000" s="3"/>
      <c r="F1000" s="25" t="s">
        <v>170</v>
      </c>
      <c r="G1000" s="3">
        <v>637</v>
      </c>
      <c r="H1000" s="3" t="s">
        <v>134</v>
      </c>
      <c r="I1000" s="18">
        <v>130</v>
      </c>
      <c r="J1000" s="18">
        <v>130</v>
      </c>
      <c r="K1000" s="218">
        <f t="shared" si="86"/>
        <v>100</v>
      </c>
      <c r="L1000" s="279"/>
      <c r="M1000" s="285"/>
      <c r="N1000" s="18"/>
      <c r="O1000" s="218"/>
      <c r="P1000" s="279"/>
      <c r="Q1000" s="285">
        <f t="shared" si="87"/>
        <v>130</v>
      </c>
      <c r="R1000" s="18">
        <f t="shared" si="87"/>
        <v>130</v>
      </c>
      <c r="S1000" s="219">
        <f t="shared" si="88"/>
        <v>100</v>
      </c>
    </row>
    <row r="1001" spans="2:19" ht="15" x14ac:dyDescent="0.25">
      <c r="B1001" s="78">
        <f t="shared" si="89"/>
        <v>428</v>
      </c>
      <c r="C1001" s="10"/>
      <c r="D1001" s="10"/>
      <c r="E1001" s="10">
        <v>6</v>
      </c>
      <c r="F1001" s="27"/>
      <c r="G1001" s="10"/>
      <c r="H1001" s="10" t="s">
        <v>12</v>
      </c>
      <c r="I1001" s="37">
        <f>I1002+I1003+I1004+I1008</f>
        <v>133912</v>
      </c>
      <c r="J1001" s="37">
        <f>J1002+J1003+J1004+J1008</f>
        <v>133912</v>
      </c>
      <c r="K1001" s="218">
        <f t="shared" si="86"/>
        <v>100</v>
      </c>
      <c r="L1001" s="295"/>
      <c r="M1001" s="299">
        <v>0</v>
      </c>
      <c r="N1001" s="37">
        <v>0</v>
      </c>
      <c r="O1001" s="218"/>
      <c r="P1001" s="295"/>
      <c r="Q1001" s="299">
        <f t="shared" si="87"/>
        <v>133912</v>
      </c>
      <c r="R1001" s="37">
        <f t="shared" si="87"/>
        <v>133912</v>
      </c>
      <c r="S1001" s="219">
        <f t="shared" si="88"/>
        <v>100</v>
      </c>
    </row>
    <row r="1002" spans="2:19" x14ac:dyDescent="0.2">
      <c r="B1002" s="78">
        <f t="shared" si="89"/>
        <v>429</v>
      </c>
      <c r="C1002" s="7"/>
      <c r="D1002" s="7"/>
      <c r="E1002" s="7"/>
      <c r="F1002" s="24" t="s">
        <v>170</v>
      </c>
      <c r="G1002" s="7">
        <v>610</v>
      </c>
      <c r="H1002" s="7" t="s">
        <v>143</v>
      </c>
      <c r="I1002" s="22">
        <f>87122+221</f>
        <v>87343</v>
      </c>
      <c r="J1002" s="22">
        <v>87343</v>
      </c>
      <c r="K1002" s="218">
        <f t="shared" si="86"/>
        <v>100</v>
      </c>
      <c r="L1002" s="278"/>
      <c r="M1002" s="284"/>
      <c r="N1002" s="22"/>
      <c r="O1002" s="218"/>
      <c r="P1002" s="278"/>
      <c r="Q1002" s="284">
        <f t="shared" si="87"/>
        <v>87343</v>
      </c>
      <c r="R1002" s="22">
        <f t="shared" si="87"/>
        <v>87343</v>
      </c>
      <c r="S1002" s="219">
        <f t="shared" si="88"/>
        <v>100</v>
      </c>
    </row>
    <row r="1003" spans="2:19" x14ac:dyDescent="0.2">
      <c r="B1003" s="78">
        <f t="shared" si="89"/>
        <v>430</v>
      </c>
      <c r="C1003" s="7"/>
      <c r="D1003" s="7"/>
      <c r="E1003" s="7"/>
      <c r="F1003" s="24" t="s">
        <v>170</v>
      </c>
      <c r="G1003" s="7">
        <v>620</v>
      </c>
      <c r="H1003" s="7" t="s">
        <v>136</v>
      </c>
      <c r="I1003" s="22">
        <f>30450-173</f>
        <v>30277</v>
      </c>
      <c r="J1003" s="22">
        <v>30277</v>
      </c>
      <c r="K1003" s="218">
        <f t="shared" si="86"/>
        <v>100</v>
      </c>
      <c r="L1003" s="278"/>
      <c r="M1003" s="284"/>
      <c r="N1003" s="22"/>
      <c r="O1003" s="218"/>
      <c r="P1003" s="278"/>
      <c r="Q1003" s="284">
        <f t="shared" si="87"/>
        <v>30277</v>
      </c>
      <c r="R1003" s="22">
        <f t="shared" si="87"/>
        <v>30277</v>
      </c>
      <c r="S1003" s="219">
        <f t="shared" si="88"/>
        <v>100</v>
      </c>
    </row>
    <row r="1004" spans="2:19" x14ac:dyDescent="0.2">
      <c r="B1004" s="78">
        <f t="shared" si="89"/>
        <v>431</v>
      </c>
      <c r="C1004" s="7"/>
      <c r="D1004" s="7"/>
      <c r="E1004" s="7"/>
      <c r="F1004" s="24" t="s">
        <v>170</v>
      </c>
      <c r="G1004" s="7">
        <v>630</v>
      </c>
      <c r="H1004" s="7" t="s">
        <v>133</v>
      </c>
      <c r="I1004" s="22">
        <f>SUM(I1005:I1007)</f>
        <v>16000</v>
      </c>
      <c r="J1004" s="22">
        <f>SUM(J1005:J1007)</f>
        <v>16000</v>
      </c>
      <c r="K1004" s="218">
        <f t="shared" si="86"/>
        <v>100</v>
      </c>
      <c r="L1004" s="278"/>
      <c r="M1004" s="284"/>
      <c r="N1004" s="22"/>
      <c r="O1004" s="218"/>
      <c r="P1004" s="278"/>
      <c r="Q1004" s="284">
        <f t="shared" si="87"/>
        <v>16000</v>
      </c>
      <c r="R1004" s="22">
        <f t="shared" si="87"/>
        <v>16000</v>
      </c>
      <c r="S1004" s="219">
        <f t="shared" si="88"/>
        <v>100</v>
      </c>
    </row>
    <row r="1005" spans="2:19" x14ac:dyDescent="0.2">
      <c r="B1005" s="78">
        <f t="shared" si="89"/>
        <v>432</v>
      </c>
      <c r="C1005" s="3"/>
      <c r="D1005" s="3"/>
      <c r="E1005" s="3"/>
      <c r="F1005" s="25" t="s">
        <v>170</v>
      </c>
      <c r="G1005" s="3">
        <v>632</v>
      </c>
      <c r="H1005" s="3" t="s">
        <v>146</v>
      </c>
      <c r="I1005" s="18">
        <f>12730+400</f>
        <v>13130</v>
      </c>
      <c r="J1005" s="18">
        <v>13130</v>
      </c>
      <c r="K1005" s="218">
        <f t="shared" si="86"/>
        <v>100</v>
      </c>
      <c r="L1005" s="279"/>
      <c r="M1005" s="285"/>
      <c r="N1005" s="18"/>
      <c r="O1005" s="218"/>
      <c r="P1005" s="279"/>
      <c r="Q1005" s="285">
        <f t="shared" si="87"/>
        <v>13130</v>
      </c>
      <c r="R1005" s="18">
        <f t="shared" si="87"/>
        <v>13130</v>
      </c>
      <c r="S1005" s="219">
        <f t="shared" si="88"/>
        <v>100</v>
      </c>
    </row>
    <row r="1006" spans="2:19" x14ac:dyDescent="0.2">
      <c r="B1006" s="78">
        <f t="shared" si="89"/>
        <v>433</v>
      </c>
      <c r="C1006" s="3"/>
      <c r="D1006" s="3"/>
      <c r="E1006" s="3"/>
      <c r="F1006" s="25" t="s">
        <v>170</v>
      </c>
      <c r="G1006" s="3">
        <v>633</v>
      </c>
      <c r="H1006" s="3" t="s">
        <v>137</v>
      </c>
      <c r="I1006" s="18">
        <v>1027</v>
      </c>
      <c r="J1006" s="18">
        <v>1027</v>
      </c>
      <c r="K1006" s="218">
        <f t="shared" si="86"/>
        <v>100</v>
      </c>
      <c r="L1006" s="279"/>
      <c r="M1006" s="285"/>
      <c r="N1006" s="18"/>
      <c r="O1006" s="218"/>
      <c r="P1006" s="279"/>
      <c r="Q1006" s="285">
        <f t="shared" si="87"/>
        <v>1027</v>
      </c>
      <c r="R1006" s="18">
        <f t="shared" si="87"/>
        <v>1027</v>
      </c>
      <c r="S1006" s="219">
        <f t="shared" si="88"/>
        <v>100</v>
      </c>
    </row>
    <row r="1007" spans="2:19" x14ac:dyDescent="0.2">
      <c r="B1007" s="78">
        <f t="shared" si="89"/>
        <v>434</v>
      </c>
      <c r="C1007" s="3"/>
      <c r="D1007" s="3"/>
      <c r="E1007" s="3"/>
      <c r="F1007" s="25" t="s">
        <v>170</v>
      </c>
      <c r="G1007" s="3">
        <v>637</v>
      </c>
      <c r="H1007" s="3" t="s">
        <v>134</v>
      </c>
      <c r="I1007" s="18">
        <f>1243+600</f>
        <v>1843</v>
      </c>
      <c r="J1007" s="18">
        <v>1843</v>
      </c>
      <c r="K1007" s="218">
        <f t="shared" si="86"/>
        <v>100</v>
      </c>
      <c r="L1007" s="279"/>
      <c r="M1007" s="285"/>
      <c r="N1007" s="18"/>
      <c r="O1007" s="218"/>
      <c r="P1007" s="279"/>
      <c r="Q1007" s="285">
        <f t="shared" si="87"/>
        <v>1843</v>
      </c>
      <c r="R1007" s="18">
        <f t="shared" si="87"/>
        <v>1843</v>
      </c>
      <c r="S1007" s="219">
        <f t="shared" si="88"/>
        <v>100</v>
      </c>
    </row>
    <row r="1008" spans="2:19" x14ac:dyDescent="0.2">
      <c r="B1008" s="78">
        <f t="shared" si="89"/>
        <v>435</v>
      </c>
      <c r="C1008" s="7"/>
      <c r="D1008" s="7"/>
      <c r="E1008" s="7"/>
      <c r="F1008" s="24" t="s">
        <v>170</v>
      </c>
      <c r="G1008" s="7">
        <v>640</v>
      </c>
      <c r="H1008" s="7" t="s">
        <v>141</v>
      </c>
      <c r="I1008" s="22">
        <f>340-48</f>
        <v>292</v>
      </c>
      <c r="J1008" s="22">
        <v>292</v>
      </c>
      <c r="K1008" s="218">
        <f t="shared" si="86"/>
        <v>100</v>
      </c>
      <c r="L1008" s="278"/>
      <c r="M1008" s="284"/>
      <c r="N1008" s="22"/>
      <c r="O1008" s="218"/>
      <c r="P1008" s="278"/>
      <c r="Q1008" s="284">
        <f t="shared" si="87"/>
        <v>292</v>
      </c>
      <c r="R1008" s="22">
        <f t="shared" si="87"/>
        <v>292</v>
      </c>
      <c r="S1008" s="219">
        <f t="shared" si="88"/>
        <v>100</v>
      </c>
    </row>
    <row r="1009" spans="2:19" ht="15" x14ac:dyDescent="0.25">
      <c r="B1009" s="78">
        <f t="shared" si="89"/>
        <v>436</v>
      </c>
      <c r="C1009" s="10"/>
      <c r="D1009" s="10"/>
      <c r="E1009" s="10">
        <v>7</v>
      </c>
      <c r="F1009" s="27"/>
      <c r="G1009" s="10"/>
      <c r="H1009" s="10" t="s">
        <v>13</v>
      </c>
      <c r="I1009" s="37">
        <f>I1010+I1011+I1012+I1016</f>
        <v>134050</v>
      </c>
      <c r="J1009" s="37">
        <f>J1010+J1011+J1012+J1016</f>
        <v>134050</v>
      </c>
      <c r="K1009" s="218">
        <f t="shared" si="86"/>
        <v>100</v>
      </c>
      <c r="L1009" s="295"/>
      <c r="M1009" s="299">
        <v>0</v>
      </c>
      <c r="N1009" s="37">
        <v>0</v>
      </c>
      <c r="O1009" s="218"/>
      <c r="P1009" s="295"/>
      <c r="Q1009" s="299">
        <f t="shared" si="87"/>
        <v>134050</v>
      </c>
      <c r="R1009" s="37">
        <f t="shared" si="87"/>
        <v>134050</v>
      </c>
      <c r="S1009" s="219">
        <f t="shared" si="88"/>
        <v>100</v>
      </c>
    </row>
    <row r="1010" spans="2:19" x14ac:dyDescent="0.2">
      <c r="B1010" s="78">
        <f t="shared" si="89"/>
        <v>437</v>
      </c>
      <c r="C1010" s="7"/>
      <c r="D1010" s="7"/>
      <c r="E1010" s="7"/>
      <c r="F1010" s="24" t="s">
        <v>170</v>
      </c>
      <c r="G1010" s="7">
        <v>610</v>
      </c>
      <c r="H1010" s="7" t="s">
        <v>143</v>
      </c>
      <c r="I1010" s="22">
        <f>78882+6916+3594</f>
        <v>89392</v>
      </c>
      <c r="J1010" s="22">
        <v>89392</v>
      </c>
      <c r="K1010" s="218">
        <f t="shared" si="86"/>
        <v>100</v>
      </c>
      <c r="L1010" s="278"/>
      <c r="M1010" s="284"/>
      <c r="N1010" s="22"/>
      <c r="O1010" s="218"/>
      <c r="P1010" s="278"/>
      <c r="Q1010" s="284">
        <f t="shared" si="87"/>
        <v>89392</v>
      </c>
      <c r="R1010" s="22">
        <f t="shared" si="87"/>
        <v>89392</v>
      </c>
      <c r="S1010" s="219">
        <f t="shared" si="88"/>
        <v>100</v>
      </c>
    </row>
    <row r="1011" spans="2:19" x14ac:dyDescent="0.2">
      <c r="B1011" s="78">
        <f t="shared" si="89"/>
        <v>438</v>
      </c>
      <c r="C1011" s="7"/>
      <c r="D1011" s="7"/>
      <c r="E1011" s="7"/>
      <c r="F1011" s="24" t="s">
        <v>170</v>
      </c>
      <c r="G1011" s="7">
        <v>620</v>
      </c>
      <c r="H1011" s="7" t="s">
        <v>136</v>
      </c>
      <c r="I1011" s="22">
        <f>27761+2441+906</f>
        <v>31108</v>
      </c>
      <c r="J1011" s="22">
        <v>31108</v>
      </c>
      <c r="K1011" s="218">
        <f t="shared" si="86"/>
        <v>100</v>
      </c>
      <c r="L1011" s="278"/>
      <c r="M1011" s="284"/>
      <c r="N1011" s="22"/>
      <c r="O1011" s="218"/>
      <c r="P1011" s="278"/>
      <c r="Q1011" s="284">
        <f t="shared" si="87"/>
        <v>31108</v>
      </c>
      <c r="R1011" s="22">
        <f t="shared" si="87"/>
        <v>31108</v>
      </c>
      <c r="S1011" s="219">
        <f t="shared" si="88"/>
        <v>100</v>
      </c>
    </row>
    <row r="1012" spans="2:19" x14ac:dyDescent="0.2">
      <c r="B1012" s="78">
        <f t="shared" si="89"/>
        <v>439</v>
      </c>
      <c r="C1012" s="7"/>
      <c r="D1012" s="7"/>
      <c r="E1012" s="7"/>
      <c r="F1012" s="24" t="s">
        <v>170</v>
      </c>
      <c r="G1012" s="7">
        <v>630</v>
      </c>
      <c r="H1012" s="7" t="s">
        <v>133</v>
      </c>
      <c r="I1012" s="22">
        <f>SUM(I1013:I1015)</f>
        <v>12166</v>
      </c>
      <c r="J1012" s="22">
        <f>SUM(J1013:J1015)</f>
        <v>12166</v>
      </c>
      <c r="K1012" s="218">
        <f t="shared" si="86"/>
        <v>100</v>
      </c>
      <c r="L1012" s="278"/>
      <c r="M1012" s="284"/>
      <c r="N1012" s="22"/>
      <c r="O1012" s="218"/>
      <c r="P1012" s="278"/>
      <c r="Q1012" s="284">
        <f t="shared" si="87"/>
        <v>12166</v>
      </c>
      <c r="R1012" s="22">
        <f t="shared" si="87"/>
        <v>12166</v>
      </c>
      <c r="S1012" s="219">
        <f t="shared" si="88"/>
        <v>100</v>
      </c>
    </row>
    <row r="1013" spans="2:19" x14ac:dyDescent="0.2">
      <c r="B1013" s="78">
        <f t="shared" si="89"/>
        <v>440</v>
      </c>
      <c r="C1013" s="3"/>
      <c r="D1013" s="3"/>
      <c r="E1013" s="3"/>
      <c r="F1013" s="25" t="s">
        <v>170</v>
      </c>
      <c r="G1013" s="3">
        <v>632</v>
      </c>
      <c r="H1013" s="3" t="s">
        <v>146</v>
      </c>
      <c r="I1013" s="18">
        <v>5294</v>
      </c>
      <c r="J1013" s="18">
        <v>5294</v>
      </c>
      <c r="K1013" s="218">
        <f t="shared" si="86"/>
        <v>100</v>
      </c>
      <c r="L1013" s="279"/>
      <c r="M1013" s="285"/>
      <c r="N1013" s="18"/>
      <c r="O1013" s="218"/>
      <c r="P1013" s="279"/>
      <c r="Q1013" s="285">
        <f t="shared" si="87"/>
        <v>5294</v>
      </c>
      <c r="R1013" s="18">
        <f t="shared" si="87"/>
        <v>5294</v>
      </c>
      <c r="S1013" s="219">
        <f t="shared" si="88"/>
        <v>100</v>
      </c>
    </row>
    <row r="1014" spans="2:19" x14ac:dyDescent="0.2">
      <c r="B1014" s="78">
        <f t="shared" si="89"/>
        <v>441</v>
      </c>
      <c r="C1014" s="3"/>
      <c r="D1014" s="3"/>
      <c r="E1014" s="3"/>
      <c r="F1014" s="25" t="s">
        <v>170</v>
      </c>
      <c r="G1014" s="3">
        <v>633</v>
      </c>
      <c r="H1014" s="3" t="s">
        <v>137</v>
      </c>
      <c r="I1014" s="18">
        <v>2372</v>
      </c>
      <c r="J1014" s="18">
        <v>2372</v>
      </c>
      <c r="K1014" s="218">
        <f t="shared" si="86"/>
        <v>100</v>
      </c>
      <c r="L1014" s="279"/>
      <c r="M1014" s="285"/>
      <c r="N1014" s="18"/>
      <c r="O1014" s="218"/>
      <c r="P1014" s="279"/>
      <c r="Q1014" s="285">
        <f t="shared" si="87"/>
        <v>2372</v>
      </c>
      <c r="R1014" s="18">
        <f t="shared" si="87"/>
        <v>2372</v>
      </c>
      <c r="S1014" s="219">
        <f t="shared" si="88"/>
        <v>100</v>
      </c>
    </row>
    <row r="1015" spans="2:19" x14ac:dyDescent="0.2">
      <c r="B1015" s="78">
        <f t="shared" si="89"/>
        <v>442</v>
      </c>
      <c r="C1015" s="3"/>
      <c r="D1015" s="3"/>
      <c r="E1015" s="3"/>
      <c r="F1015" s="25" t="s">
        <v>170</v>
      </c>
      <c r="G1015" s="3">
        <v>637</v>
      </c>
      <c r="H1015" s="3" t="s">
        <v>134</v>
      </c>
      <c r="I1015" s="18">
        <f>2500+2000</f>
        <v>4500</v>
      </c>
      <c r="J1015" s="18">
        <v>4500</v>
      </c>
      <c r="K1015" s="218">
        <f t="shared" si="86"/>
        <v>100</v>
      </c>
      <c r="L1015" s="279"/>
      <c r="M1015" s="285"/>
      <c r="N1015" s="18"/>
      <c r="O1015" s="218"/>
      <c r="P1015" s="279"/>
      <c r="Q1015" s="285">
        <f t="shared" si="87"/>
        <v>4500</v>
      </c>
      <c r="R1015" s="18">
        <f t="shared" si="87"/>
        <v>4500</v>
      </c>
      <c r="S1015" s="219">
        <f t="shared" si="88"/>
        <v>100</v>
      </c>
    </row>
    <row r="1016" spans="2:19" x14ac:dyDescent="0.2">
      <c r="B1016" s="78">
        <f t="shared" si="89"/>
        <v>443</v>
      </c>
      <c r="C1016" s="7"/>
      <c r="D1016" s="7"/>
      <c r="E1016" s="7"/>
      <c r="F1016" s="24" t="s">
        <v>170</v>
      </c>
      <c r="G1016" s="7">
        <v>640</v>
      </c>
      <c r="H1016" s="7" t="s">
        <v>141</v>
      </c>
      <c r="I1016" s="22">
        <f>2384-1000</f>
        <v>1384</v>
      </c>
      <c r="J1016" s="22">
        <v>1384</v>
      </c>
      <c r="K1016" s="218">
        <f t="shared" si="86"/>
        <v>100</v>
      </c>
      <c r="L1016" s="278"/>
      <c r="M1016" s="284"/>
      <c r="N1016" s="22"/>
      <c r="O1016" s="218"/>
      <c r="P1016" s="278"/>
      <c r="Q1016" s="284">
        <f t="shared" si="87"/>
        <v>1384</v>
      </c>
      <c r="R1016" s="22">
        <f t="shared" si="87"/>
        <v>1384</v>
      </c>
      <c r="S1016" s="219">
        <f t="shared" si="88"/>
        <v>100</v>
      </c>
    </row>
    <row r="1017" spans="2:19" ht="15" x14ac:dyDescent="0.25">
      <c r="B1017" s="78">
        <f t="shared" si="89"/>
        <v>444</v>
      </c>
      <c r="C1017" s="10"/>
      <c r="D1017" s="10"/>
      <c r="E1017" s="10">
        <v>8</v>
      </c>
      <c r="F1017" s="27"/>
      <c r="G1017" s="10"/>
      <c r="H1017" s="58" t="s">
        <v>10</v>
      </c>
      <c r="I1017" s="59">
        <f>I1018+I1019+I1020+I1025</f>
        <v>249963</v>
      </c>
      <c r="J1017" s="59">
        <f>J1018+J1019+J1020+J1025</f>
        <v>249963</v>
      </c>
      <c r="K1017" s="218">
        <f t="shared" si="86"/>
        <v>100</v>
      </c>
      <c r="L1017" s="295"/>
      <c r="M1017" s="299">
        <v>0</v>
      </c>
      <c r="N1017" s="37">
        <v>0</v>
      </c>
      <c r="O1017" s="218"/>
      <c r="P1017" s="295"/>
      <c r="Q1017" s="299">
        <f t="shared" si="87"/>
        <v>249963</v>
      </c>
      <c r="R1017" s="37">
        <f t="shared" si="87"/>
        <v>249963</v>
      </c>
      <c r="S1017" s="219">
        <f t="shared" si="88"/>
        <v>100</v>
      </c>
    </row>
    <row r="1018" spans="2:19" x14ac:dyDescent="0.2">
      <c r="B1018" s="78">
        <f t="shared" si="89"/>
        <v>445</v>
      </c>
      <c r="C1018" s="7"/>
      <c r="D1018" s="7"/>
      <c r="E1018" s="7"/>
      <c r="F1018" s="24" t="s">
        <v>170</v>
      </c>
      <c r="G1018" s="7">
        <v>610</v>
      </c>
      <c r="H1018" s="7" t="s">
        <v>143</v>
      </c>
      <c r="I1018" s="22">
        <f>145644+22365</f>
        <v>168009</v>
      </c>
      <c r="J1018" s="22">
        <v>168009</v>
      </c>
      <c r="K1018" s="218">
        <f t="shared" si="86"/>
        <v>100</v>
      </c>
      <c r="L1018" s="278"/>
      <c r="M1018" s="284"/>
      <c r="N1018" s="22"/>
      <c r="O1018" s="218"/>
      <c r="P1018" s="278"/>
      <c r="Q1018" s="284">
        <f t="shared" si="87"/>
        <v>168009</v>
      </c>
      <c r="R1018" s="22">
        <f t="shared" si="87"/>
        <v>168009</v>
      </c>
      <c r="S1018" s="219">
        <f t="shared" si="88"/>
        <v>100</v>
      </c>
    </row>
    <row r="1019" spans="2:19" x14ac:dyDescent="0.2">
      <c r="B1019" s="78">
        <f t="shared" si="89"/>
        <v>446</v>
      </c>
      <c r="C1019" s="7"/>
      <c r="D1019" s="7"/>
      <c r="E1019" s="7"/>
      <c r="F1019" s="24" t="s">
        <v>170</v>
      </c>
      <c r="G1019" s="7">
        <v>620</v>
      </c>
      <c r="H1019" s="7" t="s">
        <v>136</v>
      </c>
      <c r="I1019" s="22">
        <f>50976+7828</f>
        <v>58804</v>
      </c>
      <c r="J1019" s="22">
        <v>58804</v>
      </c>
      <c r="K1019" s="218">
        <f t="shared" ref="K1019:K1082" si="90">J1019/I1019*100</f>
        <v>100</v>
      </c>
      <c r="L1019" s="278"/>
      <c r="M1019" s="284"/>
      <c r="N1019" s="22"/>
      <c r="O1019" s="218"/>
      <c r="P1019" s="278"/>
      <c r="Q1019" s="284">
        <f t="shared" si="87"/>
        <v>58804</v>
      </c>
      <c r="R1019" s="22">
        <f t="shared" si="87"/>
        <v>58804</v>
      </c>
      <c r="S1019" s="219">
        <f t="shared" si="88"/>
        <v>100</v>
      </c>
    </row>
    <row r="1020" spans="2:19" x14ac:dyDescent="0.2">
      <c r="B1020" s="78">
        <f t="shared" si="89"/>
        <v>447</v>
      </c>
      <c r="C1020" s="7"/>
      <c r="D1020" s="7"/>
      <c r="E1020" s="7"/>
      <c r="F1020" s="24" t="s">
        <v>170</v>
      </c>
      <c r="G1020" s="7">
        <v>630</v>
      </c>
      <c r="H1020" s="7" t="s">
        <v>133</v>
      </c>
      <c r="I1020" s="22">
        <f>SUM(I1021:I1024)</f>
        <v>22300</v>
      </c>
      <c r="J1020" s="22">
        <f>SUM(J1021:J1024)</f>
        <v>22300</v>
      </c>
      <c r="K1020" s="218">
        <f t="shared" si="90"/>
        <v>100</v>
      </c>
      <c r="L1020" s="278"/>
      <c r="M1020" s="284"/>
      <c r="N1020" s="22"/>
      <c r="O1020" s="218"/>
      <c r="P1020" s="278"/>
      <c r="Q1020" s="284">
        <f t="shared" si="87"/>
        <v>22300</v>
      </c>
      <c r="R1020" s="22">
        <f t="shared" si="87"/>
        <v>22300</v>
      </c>
      <c r="S1020" s="219">
        <f t="shared" si="88"/>
        <v>100</v>
      </c>
    </row>
    <row r="1021" spans="2:19" x14ac:dyDescent="0.2">
      <c r="B1021" s="78">
        <f t="shared" si="89"/>
        <v>448</v>
      </c>
      <c r="C1021" s="3"/>
      <c r="D1021" s="3"/>
      <c r="E1021" s="3"/>
      <c r="F1021" s="25" t="s">
        <v>170</v>
      </c>
      <c r="G1021" s="3">
        <v>632</v>
      </c>
      <c r="H1021" s="3" t="s">
        <v>146</v>
      </c>
      <c r="I1021" s="19">
        <f>16550-6000-5320</f>
        <v>5230</v>
      </c>
      <c r="J1021" s="19">
        <v>5230</v>
      </c>
      <c r="K1021" s="218">
        <f t="shared" si="90"/>
        <v>100</v>
      </c>
      <c r="L1021" s="279"/>
      <c r="M1021" s="285"/>
      <c r="N1021" s="18"/>
      <c r="O1021" s="218"/>
      <c r="P1021" s="279"/>
      <c r="Q1021" s="285">
        <f t="shared" si="87"/>
        <v>5230</v>
      </c>
      <c r="R1021" s="18">
        <f t="shared" si="87"/>
        <v>5230</v>
      </c>
      <c r="S1021" s="219">
        <f t="shared" si="88"/>
        <v>100</v>
      </c>
    </row>
    <row r="1022" spans="2:19" x14ac:dyDescent="0.2">
      <c r="B1022" s="78">
        <f t="shared" si="89"/>
        <v>449</v>
      </c>
      <c r="C1022" s="3"/>
      <c r="D1022" s="3"/>
      <c r="E1022" s="3"/>
      <c r="F1022" s="25" t="s">
        <v>170</v>
      </c>
      <c r="G1022" s="3">
        <v>633</v>
      </c>
      <c r="H1022" s="3" t="s">
        <v>137</v>
      </c>
      <c r="I1022" s="19">
        <v>700</v>
      </c>
      <c r="J1022" s="19">
        <v>700</v>
      </c>
      <c r="K1022" s="218">
        <f t="shared" si="90"/>
        <v>100</v>
      </c>
      <c r="L1022" s="279"/>
      <c r="M1022" s="285"/>
      <c r="N1022" s="18"/>
      <c r="O1022" s="218"/>
      <c r="P1022" s="279"/>
      <c r="Q1022" s="285">
        <f t="shared" si="87"/>
        <v>700</v>
      </c>
      <c r="R1022" s="18">
        <f t="shared" si="87"/>
        <v>700</v>
      </c>
      <c r="S1022" s="219">
        <f t="shared" ref="S1022:S1085" si="91">R1022/Q1022*100</f>
        <v>100</v>
      </c>
    </row>
    <row r="1023" spans="2:19" x14ac:dyDescent="0.2">
      <c r="B1023" s="78">
        <f t="shared" si="89"/>
        <v>450</v>
      </c>
      <c r="C1023" s="3"/>
      <c r="D1023" s="3"/>
      <c r="E1023" s="3"/>
      <c r="F1023" s="25" t="s">
        <v>170</v>
      </c>
      <c r="G1023" s="3">
        <v>635</v>
      </c>
      <c r="H1023" s="3" t="s">
        <v>145</v>
      </c>
      <c r="I1023" s="19">
        <f>500+6000+4320</f>
        <v>10820</v>
      </c>
      <c r="J1023" s="19">
        <v>10820</v>
      </c>
      <c r="K1023" s="218">
        <f t="shared" si="90"/>
        <v>100</v>
      </c>
      <c r="L1023" s="279"/>
      <c r="M1023" s="285"/>
      <c r="N1023" s="18"/>
      <c r="O1023" s="218"/>
      <c r="P1023" s="279"/>
      <c r="Q1023" s="285">
        <f t="shared" si="87"/>
        <v>10820</v>
      </c>
      <c r="R1023" s="18">
        <f t="shared" si="87"/>
        <v>10820</v>
      </c>
      <c r="S1023" s="219">
        <f t="shared" si="91"/>
        <v>100</v>
      </c>
    </row>
    <row r="1024" spans="2:19" x14ac:dyDescent="0.2">
      <c r="B1024" s="78">
        <f t="shared" si="89"/>
        <v>451</v>
      </c>
      <c r="C1024" s="3"/>
      <c r="D1024" s="3"/>
      <c r="E1024" s="3"/>
      <c r="F1024" s="25" t="s">
        <v>170</v>
      </c>
      <c r="G1024" s="3">
        <v>637</v>
      </c>
      <c r="H1024" s="3" t="s">
        <v>134</v>
      </c>
      <c r="I1024" s="19">
        <f>4400+1150</f>
        <v>5550</v>
      </c>
      <c r="J1024" s="19">
        <v>5550</v>
      </c>
      <c r="K1024" s="218">
        <f t="shared" si="90"/>
        <v>100</v>
      </c>
      <c r="L1024" s="279"/>
      <c r="M1024" s="285"/>
      <c r="N1024" s="18"/>
      <c r="O1024" s="218"/>
      <c r="P1024" s="279"/>
      <c r="Q1024" s="285">
        <f t="shared" si="87"/>
        <v>5550</v>
      </c>
      <c r="R1024" s="18">
        <f t="shared" si="87"/>
        <v>5550</v>
      </c>
      <c r="S1024" s="219">
        <f t="shared" si="91"/>
        <v>100</v>
      </c>
    </row>
    <row r="1025" spans="2:19" x14ac:dyDescent="0.2">
      <c r="B1025" s="78">
        <f t="shared" ref="B1025:B1088" si="92">B1024+1</f>
        <v>452</v>
      </c>
      <c r="C1025" s="7"/>
      <c r="D1025" s="7"/>
      <c r="E1025" s="7"/>
      <c r="F1025" s="24" t="s">
        <v>170</v>
      </c>
      <c r="G1025" s="7">
        <v>640</v>
      </c>
      <c r="H1025" s="7" t="s">
        <v>141</v>
      </c>
      <c r="I1025" s="22">
        <f>1000-150</f>
        <v>850</v>
      </c>
      <c r="J1025" s="22">
        <v>850</v>
      </c>
      <c r="K1025" s="218">
        <f t="shared" si="90"/>
        <v>100</v>
      </c>
      <c r="L1025" s="278"/>
      <c r="M1025" s="284"/>
      <c r="N1025" s="22"/>
      <c r="O1025" s="218"/>
      <c r="P1025" s="278"/>
      <c r="Q1025" s="284">
        <f t="shared" si="87"/>
        <v>850</v>
      </c>
      <c r="R1025" s="22">
        <f t="shared" si="87"/>
        <v>850</v>
      </c>
      <c r="S1025" s="219">
        <f t="shared" si="91"/>
        <v>100</v>
      </c>
    </row>
    <row r="1026" spans="2:19" ht="15" x14ac:dyDescent="0.25">
      <c r="B1026" s="78">
        <f t="shared" si="92"/>
        <v>453</v>
      </c>
      <c r="C1026" s="10"/>
      <c r="D1026" s="10"/>
      <c r="E1026" s="10">
        <v>9</v>
      </c>
      <c r="F1026" s="27"/>
      <c r="G1026" s="10"/>
      <c r="H1026" s="10" t="s">
        <v>8</v>
      </c>
      <c r="I1026" s="37">
        <f>I1027+I1028+I1029+I1035</f>
        <v>86617</v>
      </c>
      <c r="J1026" s="37">
        <f>J1027+J1028+J1029+J1035</f>
        <v>86617</v>
      </c>
      <c r="K1026" s="218">
        <f t="shared" si="90"/>
        <v>100</v>
      </c>
      <c r="L1026" s="295"/>
      <c r="M1026" s="299">
        <v>0</v>
      </c>
      <c r="N1026" s="37">
        <v>0</v>
      </c>
      <c r="O1026" s="218"/>
      <c r="P1026" s="295"/>
      <c r="Q1026" s="299">
        <f t="shared" ref="Q1026:R1089" si="93">I1026+M1026</f>
        <v>86617</v>
      </c>
      <c r="R1026" s="37">
        <f t="shared" si="93"/>
        <v>86617</v>
      </c>
      <c r="S1026" s="219">
        <f t="shared" si="91"/>
        <v>100</v>
      </c>
    </row>
    <row r="1027" spans="2:19" x14ac:dyDescent="0.2">
      <c r="B1027" s="78">
        <f t="shared" si="92"/>
        <v>454</v>
      </c>
      <c r="C1027" s="7"/>
      <c r="D1027" s="7"/>
      <c r="E1027" s="7"/>
      <c r="F1027" s="24" t="s">
        <v>170</v>
      </c>
      <c r="G1027" s="7">
        <v>610</v>
      </c>
      <c r="H1027" s="7" t="s">
        <v>143</v>
      </c>
      <c r="I1027" s="22">
        <f>52650+4050-20</f>
        <v>56680</v>
      </c>
      <c r="J1027" s="22">
        <v>56680</v>
      </c>
      <c r="K1027" s="218">
        <f t="shared" si="90"/>
        <v>100</v>
      </c>
      <c r="L1027" s="278"/>
      <c r="M1027" s="284"/>
      <c r="N1027" s="22"/>
      <c r="O1027" s="218"/>
      <c r="P1027" s="278"/>
      <c r="Q1027" s="284">
        <f t="shared" si="93"/>
        <v>56680</v>
      </c>
      <c r="R1027" s="22">
        <f t="shared" si="93"/>
        <v>56680</v>
      </c>
      <c r="S1027" s="219">
        <f t="shared" si="91"/>
        <v>100</v>
      </c>
    </row>
    <row r="1028" spans="2:19" x14ac:dyDescent="0.2">
      <c r="B1028" s="78">
        <f t="shared" si="92"/>
        <v>455</v>
      </c>
      <c r="C1028" s="7"/>
      <c r="D1028" s="7"/>
      <c r="E1028" s="7"/>
      <c r="F1028" s="24" t="s">
        <v>170</v>
      </c>
      <c r="G1028" s="7">
        <v>620</v>
      </c>
      <c r="H1028" s="7" t="s">
        <v>136</v>
      </c>
      <c r="I1028" s="22">
        <f>19005+1412</f>
        <v>20417</v>
      </c>
      <c r="J1028" s="22">
        <v>20417</v>
      </c>
      <c r="K1028" s="218">
        <f t="shared" si="90"/>
        <v>100</v>
      </c>
      <c r="L1028" s="278"/>
      <c r="M1028" s="284"/>
      <c r="N1028" s="22"/>
      <c r="O1028" s="218"/>
      <c r="P1028" s="278"/>
      <c r="Q1028" s="284">
        <f t="shared" si="93"/>
        <v>20417</v>
      </c>
      <c r="R1028" s="22">
        <f t="shared" si="93"/>
        <v>20417</v>
      </c>
      <c r="S1028" s="219">
        <f t="shared" si="91"/>
        <v>100</v>
      </c>
    </row>
    <row r="1029" spans="2:19" x14ac:dyDescent="0.2">
      <c r="B1029" s="78">
        <f t="shared" si="92"/>
        <v>456</v>
      </c>
      <c r="C1029" s="7"/>
      <c r="D1029" s="7"/>
      <c r="E1029" s="7"/>
      <c r="F1029" s="24" t="s">
        <v>170</v>
      </c>
      <c r="G1029" s="7">
        <v>630</v>
      </c>
      <c r="H1029" s="7" t="s">
        <v>133</v>
      </c>
      <c r="I1029" s="22">
        <f>SUM(I1030:I1034)</f>
        <v>9500</v>
      </c>
      <c r="J1029" s="22">
        <f>SUM(J1030:J1034)</f>
        <v>9500</v>
      </c>
      <c r="K1029" s="218">
        <f t="shared" si="90"/>
        <v>100</v>
      </c>
      <c r="L1029" s="278"/>
      <c r="M1029" s="284"/>
      <c r="N1029" s="22"/>
      <c r="O1029" s="218"/>
      <c r="P1029" s="278"/>
      <c r="Q1029" s="284">
        <f t="shared" si="93"/>
        <v>9500</v>
      </c>
      <c r="R1029" s="22">
        <f t="shared" si="93"/>
        <v>9500</v>
      </c>
      <c r="S1029" s="219">
        <f t="shared" si="91"/>
        <v>100</v>
      </c>
    </row>
    <row r="1030" spans="2:19" x14ac:dyDescent="0.2">
      <c r="B1030" s="78">
        <f t="shared" si="92"/>
        <v>457</v>
      </c>
      <c r="C1030" s="3"/>
      <c r="D1030" s="3"/>
      <c r="E1030" s="3"/>
      <c r="F1030" s="25" t="s">
        <v>170</v>
      </c>
      <c r="G1030" s="3">
        <v>632</v>
      </c>
      <c r="H1030" s="3" t="s">
        <v>146</v>
      </c>
      <c r="I1030" s="18">
        <v>2220</v>
      </c>
      <c r="J1030" s="18">
        <v>2220</v>
      </c>
      <c r="K1030" s="218">
        <f t="shared" si="90"/>
        <v>100</v>
      </c>
      <c r="L1030" s="279"/>
      <c r="M1030" s="285"/>
      <c r="N1030" s="18"/>
      <c r="O1030" s="218"/>
      <c r="P1030" s="279"/>
      <c r="Q1030" s="285">
        <f t="shared" si="93"/>
        <v>2220</v>
      </c>
      <c r="R1030" s="18">
        <f t="shared" si="93"/>
        <v>2220</v>
      </c>
      <c r="S1030" s="219">
        <f t="shared" si="91"/>
        <v>100</v>
      </c>
    </row>
    <row r="1031" spans="2:19" x14ac:dyDescent="0.2">
      <c r="B1031" s="78">
        <f t="shared" si="92"/>
        <v>458</v>
      </c>
      <c r="C1031" s="3"/>
      <c r="D1031" s="3"/>
      <c r="E1031" s="3"/>
      <c r="F1031" s="25" t="s">
        <v>170</v>
      </c>
      <c r="G1031" s="3">
        <v>633</v>
      </c>
      <c r="H1031" s="3" t="s">
        <v>137</v>
      </c>
      <c r="I1031" s="18">
        <f>1250+1634</f>
        <v>2884</v>
      </c>
      <c r="J1031" s="18">
        <v>2884</v>
      </c>
      <c r="K1031" s="218">
        <f t="shared" si="90"/>
        <v>100</v>
      </c>
      <c r="L1031" s="279"/>
      <c r="M1031" s="285"/>
      <c r="N1031" s="18"/>
      <c r="O1031" s="218"/>
      <c r="P1031" s="279"/>
      <c r="Q1031" s="285">
        <f t="shared" si="93"/>
        <v>2884</v>
      </c>
      <c r="R1031" s="18">
        <f t="shared" si="93"/>
        <v>2884</v>
      </c>
      <c r="S1031" s="219">
        <f t="shared" si="91"/>
        <v>100</v>
      </c>
    </row>
    <row r="1032" spans="2:19" x14ac:dyDescent="0.2">
      <c r="B1032" s="78">
        <f t="shared" si="92"/>
        <v>459</v>
      </c>
      <c r="C1032" s="3"/>
      <c r="D1032" s="3"/>
      <c r="E1032" s="3"/>
      <c r="F1032" s="25" t="s">
        <v>170</v>
      </c>
      <c r="G1032" s="3">
        <v>634</v>
      </c>
      <c r="H1032" s="3" t="s">
        <v>144</v>
      </c>
      <c r="I1032" s="18">
        <v>384</v>
      </c>
      <c r="J1032" s="18">
        <v>384</v>
      </c>
      <c r="K1032" s="218">
        <f t="shared" si="90"/>
        <v>100</v>
      </c>
      <c r="L1032" s="279"/>
      <c r="M1032" s="285"/>
      <c r="N1032" s="18"/>
      <c r="O1032" s="218"/>
      <c r="P1032" s="279"/>
      <c r="Q1032" s="285"/>
      <c r="R1032" s="18">
        <f t="shared" si="93"/>
        <v>384</v>
      </c>
      <c r="S1032" s="219"/>
    </row>
    <row r="1033" spans="2:19" x14ac:dyDescent="0.2">
      <c r="B1033" s="78">
        <f t="shared" si="92"/>
        <v>460</v>
      </c>
      <c r="C1033" s="3"/>
      <c r="D1033" s="3"/>
      <c r="E1033" s="3"/>
      <c r="F1033" s="25" t="s">
        <v>170</v>
      </c>
      <c r="G1033" s="3">
        <v>635</v>
      </c>
      <c r="H1033" s="3" t="s">
        <v>145</v>
      </c>
      <c r="I1033" s="18">
        <f>4680-2418</f>
        <v>2262</v>
      </c>
      <c r="J1033" s="18">
        <v>2262</v>
      </c>
      <c r="K1033" s="218">
        <f t="shared" si="90"/>
        <v>100</v>
      </c>
      <c r="L1033" s="279"/>
      <c r="M1033" s="285"/>
      <c r="N1033" s="18"/>
      <c r="O1033" s="218"/>
      <c r="P1033" s="279"/>
      <c r="Q1033" s="285">
        <f t="shared" si="93"/>
        <v>2262</v>
      </c>
      <c r="R1033" s="18">
        <f t="shared" si="93"/>
        <v>2262</v>
      </c>
      <c r="S1033" s="219">
        <f t="shared" si="91"/>
        <v>100</v>
      </c>
    </row>
    <row r="1034" spans="2:19" x14ac:dyDescent="0.2">
      <c r="B1034" s="78">
        <f t="shared" si="92"/>
        <v>461</v>
      </c>
      <c r="C1034" s="3"/>
      <c r="D1034" s="3"/>
      <c r="E1034" s="3"/>
      <c r="F1034" s="25" t="s">
        <v>170</v>
      </c>
      <c r="G1034" s="3">
        <v>637</v>
      </c>
      <c r="H1034" s="3" t="s">
        <v>134</v>
      </c>
      <c r="I1034" s="18">
        <f>1350+400</f>
        <v>1750</v>
      </c>
      <c r="J1034" s="18">
        <v>1750</v>
      </c>
      <c r="K1034" s="218">
        <f t="shared" si="90"/>
        <v>100</v>
      </c>
      <c r="L1034" s="279"/>
      <c r="M1034" s="285"/>
      <c r="N1034" s="18"/>
      <c r="O1034" s="218"/>
      <c r="P1034" s="279"/>
      <c r="Q1034" s="285">
        <f t="shared" si="93"/>
        <v>1750</v>
      </c>
      <c r="R1034" s="18">
        <f t="shared" si="93"/>
        <v>1750</v>
      </c>
      <c r="S1034" s="219">
        <f t="shared" si="91"/>
        <v>100</v>
      </c>
    </row>
    <row r="1035" spans="2:19" x14ac:dyDescent="0.2">
      <c r="B1035" s="78">
        <f t="shared" si="92"/>
        <v>462</v>
      </c>
      <c r="C1035" s="3"/>
      <c r="D1035" s="3"/>
      <c r="E1035" s="3"/>
      <c r="F1035" s="24" t="s">
        <v>170</v>
      </c>
      <c r="G1035" s="7">
        <v>640</v>
      </c>
      <c r="H1035" s="7" t="s">
        <v>141</v>
      </c>
      <c r="I1035" s="22">
        <v>20</v>
      </c>
      <c r="J1035" s="22">
        <v>20</v>
      </c>
      <c r="K1035" s="218">
        <f t="shared" si="90"/>
        <v>100</v>
      </c>
      <c r="L1035" s="278"/>
      <c r="M1035" s="284"/>
      <c r="N1035" s="22"/>
      <c r="O1035" s="218"/>
      <c r="P1035" s="278"/>
      <c r="Q1035" s="284">
        <f t="shared" si="93"/>
        <v>20</v>
      </c>
      <c r="R1035" s="22">
        <f t="shared" si="93"/>
        <v>20</v>
      </c>
      <c r="S1035" s="219">
        <f t="shared" si="91"/>
        <v>100</v>
      </c>
    </row>
    <row r="1036" spans="2:19" ht="15" x14ac:dyDescent="0.25">
      <c r="B1036" s="78">
        <f t="shared" si="92"/>
        <v>463</v>
      </c>
      <c r="C1036" s="10"/>
      <c r="D1036" s="10"/>
      <c r="E1036" s="10">
        <v>10</v>
      </c>
      <c r="F1036" s="27"/>
      <c r="G1036" s="10"/>
      <c r="H1036" s="10" t="s">
        <v>2</v>
      </c>
      <c r="I1036" s="37">
        <f>I1037+I1038+I1039</f>
        <v>86640</v>
      </c>
      <c r="J1036" s="37">
        <f>J1037+J1038+J1039</f>
        <v>86640</v>
      </c>
      <c r="K1036" s="218">
        <f t="shared" si="90"/>
        <v>100</v>
      </c>
      <c r="L1036" s="295"/>
      <c r="M1036" s="299">
        <v>0</v>
      </c>
      <c r="N1036" s="37">
        <v>0</v>
      </c>
      <c r="O1036" s="218"/>
      <c r="P1036" s="295"/>
      <c r="Q1036" s="299">
        <f t="shared" si="93"/>
        <v>86640</v>
      </c>
      <c r="R1036" s="37">
        <f t="shared" si="93"/>
        <v>86640</v>
      </c>
      <c r="S1036" s="219">
        <f t="shared" si="91"/>
        <v>100</v>
      </c>
    </row>
    <row r="1037" spans="2:19" x14ac:dyDescent="0.2">
      <c r="B1037" s="78">
        <f t="shared" si="92"/>
        <v>464</v>
      </c>
      <c r="C1037" s="7"/>
      <c r="D1037" s="7"/>
      <c r="E1037" s="7"/>
      <c r="F1037" s="24" t="s">
        <v>170</v>
      </c>
      <c r="G1037" s="7">
        <v>610</v>
      </c>
      <c r="H1037" s="7" t="s">
        <v>143</v>
      </c>
      <c r="I1037" s="22">
        <f>52100+3630+370</f>
        <v>56100</v>
      </c>
      <c r="J1037" s="22">
        <v>56100</v>
      </c>
      <c r="K1037" s="218">
        <f t="shared" si="90"/>
        <v>100</v>
      </c>
      <c r="L1037" s="278"/>
      <c r="M1037" s="284"/>
      <c r="N1037" s="22"/>
      <c r="O1037" s="218"/>
      <c r="P1037" s="278"/>
      <c r="Q1037" s="284">
        <f t="shared" si="93"/>
        <v>56100</v>
      </c>
      <c r="R1037" s="22">
        <f t="shared" si="93"/>
        <v>56100</v>
      </c>
      <c r="S1037" s="219">
        <f t="shared" si="91"/>
        <v>100</v>
      </c>
    </row>
    <row r="1038" spans="2:19" x14ac:dyDescent="0.2">
      <c r="B1038" s="78">
        <f t="shared" si="92"/>
        <v>465</v>
      </c>
      <c r="C1038" s="7"/>
      <c r="D1038" s="7"/>
      <c r="E1038" s="7"/>
      <c r="F1038" s="24" t="s">
        <v>170</v>
      </c>
      <c r="G1038" s="7">
        <v>620</v>
      </c>
      <c r="H1038" s="7" t="s">
        <v>136</v>
      </c>
      <c r="I1038" s="22">
        <f>18210+1270+130</f>
        <v>19610</v>
      </c>
      <c r="J1038" s="22">
        <v>19610</v>
      </c>
      <c r="K1038" s="218">
        <f t="shared" si="90"/>
        <v>100</v>
      </c>
      <c r="L1038" s="278"/>
      <c r="M1038" s="284"/>
      <c r="N1038" s="22"/>
      <c r="O1038" s="218"/>
      <c r="P1038" s="278"/>
      <c r="Q1038" s="284">
        <f t="shared" si="93"/>
        <v>19610</v>
      </c>
      <c r="R1038" s="22">
        <f t="shared" si="93"/>
        <v>19610</v>
      </c>
      <c r="S1038" s="219">
        <f t="shared" si="91"/>
        <v>100</v>
      </c>
    </row>
    <row r="1039" spans="2:19" x14ac:dyDescent="0.2">
      <c r="B1039" s="78">
        <f t="shared" si="92"/>
        <v>466</v>
      </c>
      <c r="C1039" s="7"/>
      <c r="D1039" s="7"/>
      <c r="E1039" s="7"/>
      <c r="F1039" s="24" t="s">
        <v>170</v>
      </c>
      <c r="G1039" s="7">
        <v>630</v>
      </c>
      <c r="H1039" s="7" t="s">
        <v>133</v>
      </c>
      <c r="I1039" s="22">
        <f>SUM(I1040:I1042)</f>
        <v>10930</v>
      </c>
      <c r="J1039" s="22">
        <f>SUM(J1040:J1042)</f>
        <v>10930</v>
      </c>
      <c r="K1039" s="218">
        <f t="shared" si="90"/>
        <v>100</v>
      </c>
      <c r="L1039" s="278"/>
      <c r="M1039" s="284"/>
      <c r="N1039" s="22"/>
      <c r="O1039" s="218"/>
      <c r="P1039" s="278"/>
      <c r="Q1039" s="284">
        <f t="shared" si="93"/>
        <v>10930</v>
      </c>
      <c r="R1039" s="22">
        <f t="shared" si="93"/>
        <v>10930</v>
      </c>
      <c r="S1039" s="219">
        <f t="shared" si="91"/>
        <v>100</v>
      </c>
    </row>
    <row r="1040" spans="2:19" x14ac:dyDescent="0.2">
      <c r="B1040" s="78">
        <f t="shared" si="92"/>
        <v>467</v>
      </c>
      <c r="C1040" s="3"/>
      <c r="D1040" s="3"/>
      <c r="E1040" s="3"/>
      <c r="F1040" s="25" t="s">
        <v>170</v>
      </c>
      <c r="G1040" s="3">
        <v>632</v>
      </c>
      <c r="H1040" s="3" t="s">
        <v>146</v>
      </c>
      <c r="I1040" s="18">
        <f>2700+550</f>
        <v>3250</v>
      </c>
      <c r="J1040" s="18">
        <v>3250</v>
      </c>
      <c r="K1040" s="218">
        <f t="shared" si="90"/>
        <v>100</v>
      </c>
      <c r="L1040" s="279"/>
      <c r="M1040" s="285"/>
      <c r="N1040" s="18"/>
      <c r="O1040" s="218"/>
      <c r="P1040" s="279"/>
      <c r="Q1040" s="285">
        <f t="shared" si="93"/>
        <v>3250</v>
      </c>
      <c r="R1040" s="18">
        <f t="shared" si="93"/>
        <v>3250</v>
      </c>
      <c r="S1040" s="219">
        <f t="shared" si="91"/>
        <v>100</v>
      </c>
    </row>
    <row r="1041" spans="2:19" x14ac:dyDescent="0.2">
      <c r="B1041" s="78">
        <f t="shared" si="92"/>
        <v>468</v>
      </c>
      <c r="C1041" s="3"/>
      <c r="D1041" s="3"/>
      <c r="E1041" s="3"/>
      <c r="F1041" s="25" t="s">
        <v>170</v>
      </c>
      <c r="G1041" s="3">
        <v>633</v>
      </c>
      <c r="H1041" s="3" t="s">
        <v>137</v>
      </c>
      <c r="I1041" s="18">
        <f>4030+550</f>
        <v>4580</v>
      </c>
      <c r="J1041" s="18">
        <v>4580</v>
      </c>
      <c r="K1041" s="218">
        <f t="shared" si="90"/>
        <v>100</v>
      </c>
      <c r="L1041" s="279"/>
      <c r="M1041" s="285"/>
      <c r="N1041" s="18"/>
      <c r="O1041" s="218"/>
      <c r="P1041" s="279"/>
      <c r="Q1041" s="285">
        <f t="shared" si="93"/>
        <v>4580</v>
      </c>
      <c r="R1041" s="18">
        <f t="shared" si="93"/>
        <v>4580</v>
      </c>
      <c r="S1041" s="219">
        <f t="shared" si="91"/>
        <v>100</v>
      </c>
    </row>
    <row r="1042" spans="2:19" x14ac:dyDescent="0.2">
      <c r="B1042" s="78">
        <f t="shared" si="92"/>
        <v>469</v>
      </c>
      <c r="C1042" s="3"/>
      <c r="D1042" s="3"/>
      <c r="E1042" s="3"/>
      <c r="F1042" s="25" t="s">
        <v>170</v>
      </c>
      <c r="G1042" s="3">
        <v>637</v>
      </c>
      <c r="H1042" s="3" t="s">
        <v>134</v>
      </c>
      <c r="I1042" s="18">
        <f>2700+400</f>
        <v>3100</v>
      </c>
      <c r="J1042" s="18">
        <v>3100</v>
      </c>
      <c r="K1042" s="218">
        <f t="shared" si="90"/>
        <v>100</v>
      </c>
      <c r="L1042" s="279"/>
      <c r="M1042" s="285"/>
      <c r="N1042" s="18"/>
      <c r="O1042" s="218"/>
      <c r="P1042" s="279"/>
      <c r="Q1042" s="285">
        <f t="shared" si="93"/>
        <v>3100</v>
      </c>
      <c r="R1042" s="18">
        <f t="shared" si="93"/>
        <v>3100</v>
      </c>
      <c r="S1042" s="219">
        <f t="shared" si="91"/>
        <v>100</v>
      </c>
    </row>
    <row r="1043" spans="2:19" ht="15" x14ac:dyDescent="0.25">
      <c r="B1043" s="78">
        <f t="shared" si="92"/>
        <v>470</v>
      </c>
      <c r="C1043" s="10"/>
      <c r="D1043" s="10"/>
      <c r="E1043" s="10">
        <v>11</v>
      </c>
      <c r="F1043" s="27"/>
      <c r="G1043" s="10"/>
      <c r="H1043" s="10" t="s">
        <v>11</v>
      </c>
      <c r="I1043" s="37">
        <f>I1044+I1045+I1046+I1050</f>
        <v>146769</v>
      </c>
      <c r="J1043" s="37">
        <f>J1044+J1045+J1046+J1050</f>
        <v>146769</v>
      </c>
      <c r="K1043" s="218">
        <f t="shared" si="90"/>
        <v>100</v>
      </c>
      <c r="L1043" s="295"/>
      <c r="M1043" s="299">
        <v>0</v>
      </c>
      <c r="N1043" s="37">
        <v>0</v>
      </c>
      <c r="O1043" s="218"/>
      <c r="P1043" s="295"/>
      <c r="Q1043" s="299">
        <f t="shared" si="93"/>
        <v>146769</v>
      </c>
      <c r="R1043" s="37">
        <f t="shared" si="93"/>
        <v>146769</v>
      </c>
      <c r="S1043" s="219">
        <f t="shared" si="91"/>
        <v>100</v>
      </c>
    </row>
    <row r="1044" spans="2:19" x14ac:dyDescent="0.2">
      <c r="B1044" s="78">
        <f t="shared" si="92"/>
        <v>471</v>
      </c>
      <c r="C1044" s="7"/>
      <c r="D1044" s="7"/>
      <c r="E1044" s="7"/>
      <c r="F1044" s="24" t="s">
        <v>170</v>
      </c>
      <c r="G1044" s="7">
        <v>610</v>
      </c>
      <c r="H1044" s="7" t="s">
        <v>143</v>
      </c>
      <c r="I1044" s="22">
        <f>83900+11766+4900+740</f>
        <v>101306</v>
      </c>
      <c r="J1044" s="22">
        <v>101306</v>
      </c>
      <c r="K1044" s="218">
        <f t="shared" si="90"/>
        <v>100</v>
      </c>
      <c r="L1044" s="278"/>
      <c r="M1044" s="284"/>
      <c r="N1044" s="22"/>
      <c r="O1044" s="218"/>
      <c r="P1044" s="278"/>
      <c r="Q1044" s="284">
        <f t="shared" si="93"/>
        <v>101306</v>
      </c>
      <c r="R1044" s="22">
        <f t="shared" si="93"/>
        <v>101306</v>
      </c>
      <c r="S1044" s="219">
        <f t="shared" si="91"/>
        <v>100</v>
      </c>
    </row>
    <row r="1045" spans="2:19" x14ac:dyDescent="0.2">
      <c r="B1045" s="78">
        <f t="shared" si="92"/>
        <v>472</v>
      </c>
      <c r="C1045" s="7"/>
      <c r="D1045" s="7"/>
      <c r="E1045" s="7"/>
      <c r="F1045" s="24" t="s">
        <v>170</v>
      </c>
      <c r="G1045" s="7">
        <v>620</v>
      </c>
      <c r="H1045" s="7" t="s">
        <v>136</v>
      </c>
      <c r="I1045" s="22">
        <f>29360+4118+1725+260</f>
        <v>35463</v>
      </c>
      <c r="J1045" s="22">
        <v>35463</v>
      </c>
      <c r="K1045" s="218">
        <f t="shared" si="90"/>
        <v>100</v>
      </c>
      <c r="L1045" s="278"/>
      <c r="M1045" s="284"/>
      <c r="N1045" s="22"/>
      <c r="O1045" s="218"/>
      <c r="P1045" s="278"/>
      <c r="Q1045" s="284">
        <f t="shared" si="93"/>
        <v>35463</v>
      </c>
      <c r="R1045" s="22">
        <f t="shared" si="93"/>
        <v>35463</v>
      </c>
      <c r="S1045" s="219">
        <f t="shared" si="91"/>
        <v>100</v>
      </c>
    </row>
    <row r="1046" spans="2:19" x14ac:dyDescent="0.2">
      <c r="B1046" s="78">
        <f t="shared" si="92"/>
        <v>473</v>
      </c>
      <c r="C1046" s="7"/>
      <c r="D1046" s="7"/>
      <c r="E1046" s="7"/>
      <c r="F1046" s="24" t="s">
        <v>170</v>
      </c>
      <c r="G1046" s="7">
        <v>630</v>
      </c>
      <c r="H1046" s="7" t="s">
        <v>133</v>
      </c>
      <c r="I1046" s="22">
        <f>SUM(I1047:I1049)</f>
        <v>9209</v>
      </c>
      <c r="J1046" s="22">
        <f>SUM(J1047:J1049)</f>
        <v>9209</v>
      </c>
      <c r="K1046" s="218">
        <f t="shared" si="90"/>
        <v>100</v>
      </c>
      <c r="L1046" s="278"/>
      <c r="M1046" s="284"/>
      <c r="N1046" s="22"/>
      <c r="O1046" s="218"/>
      <c r="P1046" s="278"/>
      <c r="Q1046" s="284">
        <f t="shared" si="93"/>
        <v>9209</v>
      </c>
      <c r="R1046" s="22">
        <f t="shared" si="93"/>
        <v>9209</v>
      </c>
      <c r="S1046" s="219">
        <f t="shared" si="91"/>
        <v>100</v>
      </c>
    </row>
    <row r="1047" spans="2:19" x14ac:dyDescent="0.2">
      <c r="B1047" s="78">
        <f t="shared" si="92"/>
        <v>474</v>
      </c>
      <c r="C1047" s="3"/>
      <c r="D1047" s="3"/>
      <c r="E1047" s="3"/>
      <c r="F1047" s="25" t="s">
        <v>170</v>
      </c>
      <c r="G1047" s="3">
        <v>632</v>
      </c>
      <c r="H1047" s="3" t="s">
        <v>146</v>
      </c>
      <c r="I1047" s="18">
        <v>2300</v>
      </c>
      <c r="J1047" s="18">
        <v>2300</v>
      </c>
      <c r="K1047" s="218">
        <f t="shared" si="90"/>
        <v>100</v>
      </c>
      <c r="L1047" s="279"/>
      <c r="M1047" s="285"/>
      <c r="N1047" s="18"/>
      <c r="O1047" s="218"/>
      <c r="P1047" s="279"/>
      <c r="Q1047" s="285">
        <f t="shared" si="93"/>
        <v>2300</v>
      </c>
      <c r="R1047" s="18">
        <f t="shared" si="93"/>
        <v>2300</v>
      </c>
      <c r="S1047" s="219">
        <f t="shared" si="91"/>
        <v>100</v>
      </c>
    </row>
    <row r="1048" spans="2:19" x14ac:dyDescent="0.2">
      <c r="B1048" s="78">
        <f t="shared" si="92"/>
        <v>475</v>
      </c>
      <c r="C1048" s="3"/>
      <c r="D1048" s="3"/>
      <c r="E1048" s="3"/>
      <c r="F1048" s="25" t="s">
        <v>170</v>
      </c>
      <c r="G1048" s="3">
        <v>633</v>
      </c>
      <c r="H1048" s="3" t="s">
        <v>137</v>
      </c>
      <c r="I1048" s="18">
        <f>6300-500-2746</f>
        <v>3054</v>
      </c>
      <c r="J1048" s="18">
        <v>3054</v>
      </c>
      <c r="K1048" s="218">
        <f t="shared" si="90"/>
        <v>100</v>
      </c>
      <c r="L1048" s="279"/>
      <c r="M1048" s="285"/>
      <c r="N1048" s="18"/>
      <c r="O1048" s="218"/>
      <c r="P1048" s="279"/>
      <c r="Q1048" s="285">
        <f t="shared" si="93"/>
        <v>3054</v>
      </c>
      <c r="R1048" s="18">
        <f t="shared" si="93"/>
        <v>3054</v>
      </c>
      <c r="S1048" s="219">
        <f t="shared" si="91"/>
        <v>100</v>
      </c>
    </row>
    <row r="1049" spans="2:19" x14ac:dyDescent="0.2">
      <c r="B1049" s="78">
        <f t="shared" si="92"/>
        <v>476</v>
      </c>
      <c r="C1049" s="3"/>
      <c r="D1049" s="3"/>
      <c r="E1049" s="3"/>
      <c r="F1049" s="25" t="s">
        <v>170</v>
      </c>
      <c r="G1049" s="3">
        <v>637</v>
      </c>
      <c r="H1049" s="3" t="s">
        <v>134</v>
      </c>
      <c r="I1049" s="18">
        <f>3400+455</f>
        <v>3855</v>
      </c>
      <c r="J1049" s="18">
        <v>3855</v>
      </c>
      <c r="K1049" s="218">
        <f t="shared" si="90"/>
        <v>100</v>
      </c>
      <c r="L1049" s="279"/>
      <c r="M1049" s="285"/>
      <c r="N1049" s="18"/>
      <c r="O1049" s="218"/>
      <c r="P1049" s="279"/>
      <c r="Q1049" s="285">
        <f t="shared" si="93"/>
        <v>3855</v>
      </c>
      <c r="R1049" s="18">
        <f t="shared" si="93"/>
        <v>3855</v>
      </c>
      <c r="S1049" s="219">
        <f t="shared" si="91"/>
        <v>100</v>
      </c>
    </row>
    <row r="1050" spans="2:19" x14ac:dyDescent="0.2">
      <c r="B1050" s="78">
        <f t="shared" si="92"/>
        <v>477</v>
      </c>
      <c r="C1050" s="7"/>
      <c r="D1050" s="7"/>
      <c r="E1050" s="7"/>
      <c r="F1050" s="24" t="s">
        <v>170</v>
      </c>
      <c r="G1050" s="7">
        <v>640</v>
      </c>
      <c r="H1050" s="7" t="s">
        <v>141</v>
      </c>
      <c r="I1050" s="22">
        <f>1000-209</f>
        <v>791</v>
      </c>
      <c r="J1050" s="22">
        <v>791</v>
      </c>
      <c r="K1050" s="218">
        <f t="shared" si="90"/>
        <v>100</v>
      </c>
      <c r="L1050" s="278"/>
      <c r="M1050" s="284"/>
      <c r="N1050" s="22"/>
      <c r="O1050" s="218"/>
      <c r="P1050" s="278"/>
      <c r="Q1050" s="284">
        <f t="shared" si="93"/>
        <v>791</v>
      </c>
      <c r="R1050" s="22">
        <f t="shared" si="93"/>
        <v>791</v>
      </c>
      <c r="S1050" s="219">
        <f t="shared" si="91"/>
        <v>100</v>
      </c>
    </row>
    <row r="1051" spans="2:19" ht="15" x14ac:dyDescent="0.25">
      <c r="B1051" s="78">
        <f t="shared" si="92"/>
        <v>478</v>
      </c>
      <c r="C1051" s="10"/>
      <c r="D1051" s="10"/>
      <c r="E1051" s="10">
        <v>12</v>
      </c>
      <c r="F1051" s="27"/>
      <c r="G1051" s="10"/>
      <c r="H1051" s="10" t="s">
        <v>9</v>
      </c>
      <c r="I1051" s="37">
        <f>I1052+I1053+I1054+I1058</f>
        <v>136450</v>
      </c>
      <c r="J1051" s="37">
        <f>J1052+J1053+J1054+J1058</f>
        <v>136450</v>
      </c>
      <c r="K1051" s="218">
        <f t="shared" si="90"/>
        <v>100</v>
      </c>
      <c r="L1051" s="295"/>
      <c r="M1051" s="299">
        <v>0</v>
      </c>
      <c r="N1051" s="37">
        <v>0</v>
      </c>
      <c r="O1051" s="218"/>
      <c r="P1051" s="295"/>
      <c r="Q1051" s="299">
        <f t="shared" si="93"/>
        <v>136450</v>
      </c>
      <c r="R1051" s="37">
        <f t="shared" si="93"/>
        <v>136450</v>
      </c>
      <c r="S1051" s="219">
        <f t="shared" si="91"/>
        <v>100</v>
      </c>
    </row>
    <row r="1052" spans="2:19" x14ac:dyDescent="0.2">
      <c r="B1052" s="78">
        <f t="shared" si="92"/>
        <v>479</v>
      </c>
      <c r="C1052" s="7"/>
      <c r="D1052" s="7"/>
      <c r="E1052" s="7"/>
      <c r="F1052" s="24" t="s">
        <v>170</v>
      </c>
      <c r="G1052" s="7">
        <v>610</v>
      </c>
      <c r="H1052" s="7" t="s">
        <v>143</v>
      </c>
      <c r="I1052" s="22">
        <v>92700</v>
      </c>
      <c r="J1052" s="22">
        <v>92702</v>
      </c>
      <c r="K1052" s="218">
        <f t="shared" si="90"/>
        <v>100.00215749730313</v>
      </c>
      <c r="L1052" s="278"/>
      <c r="M1052" s="284"/>
      <c r="N1052" s="22"/>
      <c r="O1052" s="218"/>
      <c r="P1052" s="278"/>
      <c r="Q1052" s="284">
        <f t="shared" si="93"/>
        <v>92700</v>
      </c>
      <c r="R1052" s="22">
        <f t="shared" si="93"/>
        <v>92702</v>
      </c>
      <c r="S1052" s="219">
        <f t="shared" si="91"/>
        <v>100.00215749730313</v>
      </c>
    </row>
    <row r="1053" spans="2:19" x14ac:dyDescent="0.2">
      <c r="B1053" s="78">
        <f t="shared" si="92"/>
        <v>480</v>
      </c>
      <c r="C1053" s="7"/>
      <c r="D1053" s="7"/>
      <c r="E1053" s="7"/>
      <c r="F1053" s="24" t="s">
        <v>170</v>
      </c>
      <c r="G1053" s="7">
        <v>620</v>
      </c>
      <c r="H1053" s="7" t="s">
        <v>136</v>
      </c>
      <c r="I1053" s="22">
        <v>33450</v>
      </c>
      <c r="J1053" s="22">
        <v>33448</v>
      </c>
      <c r="K1053" s="218">
        <f t="shared" si="90"/>
        <v>99.994020926756349</v>
      </c>
      <c r="L1053" s="278"/>
      <c r="M1053" s="284"/>
      <c r="N1053" s="22"/>
      <c r="O1053" s="218"/>
      <c r="P1053" s="278"/>
      <c r="Q1053" s="284">
        <f t="shared" si="93"/>
        <v>33450</v>
      </c>
      <c r="R1053" s="22">
        <f t="shared" si="93"/>
        <v>33448</v>
      </c>
      <c r="S1053" s="219">
        <f t="shared" si="91"/>
        <v>99.994020926756349</v>
      </c>
    </row>
    <row r="1054" spans="2:19" x14ac:dyDescent="0.2">
      <c r="B1054" s="78">
        <f t="shared" si="92"/>
        <v>481</v>
      </c>
      <c r="C1054" s="7"/>
      <c r="D1054" s="7"/>
      <c r="E1054" s="7"/>
      <c r="F1054" s="24" t="s">
        <v>170</v>
      </c>
      <c r="G1054" s="7">
        <v>630</v>
      </c>
      <c r="H1054" s="7" t="s">
        <v>133</v>
      </c>
      <c r="I1054" s="22">
        <f>SUM(I1055:I1057)</f>
        <v>9300</v>
      </c>
      <c r="J1054" s="22">
        <f>SUM(J1055:J1057)</f>
        <v>9300</v>
      </c>
      <c r="K1054" s="218">
        <f t="shared" si="90"/>
        <v>100</v>
      </c>
      <c r="L1054" s="278"/>
      <c r="M1054" s="284"/>
      <c r="N1054" s="22"/>
      <c r="O1054" s="218"/>
      <c r="P1054" s="278"/>
      <c r="Q1054" s="284">
        <f t="shared" si="93"/>
        <v>9300</v>
      </c>
      <c r="R1054" s="22">
        <f t="shared" si="93"/>
        <v>9300</v>
      </c>
      <c r="S1054" s="219">
        <f t="shared" si="91"/>
        <v>100</v>
      </c>
    </row>
    <row r="1055" spans="2:19" x14ac:dyDescent="0.2">
      <c r="B1055" s="78">
        <f t="shared" si="92"/>
        <v>482</v>
      </c>
      <c r="C1055" s="3"/>
      <c r="D1055" s="3"/>
      <c r="E1055" s="3"/>
      <c r="F1055" s="25" t="s">
        <v>170</v>
      </c>
      <c r="G1055" s="3">
        <v>632</v>
      </c>
      <c r="H1055" s="3" t="s">
        <v>146</v>
      </c>
      <c r="I1055" s="18">
        <v>400</v>
      </c>
      <c r="J1055" s="18">
        <v>400</v>
      </c>
      <c r="K1055" s="218">
        <f t="shared" si="90"/>
        <v>100</v>
      </c>
      <c r="L1055" s="279"/>
      <c r="M1055" s="285"/>
      <c r="N1055" s="18"/>
      <c r="O1055" s="218"/>
      <c r="P1055" s="279"/>
      <c r="Q1055" s="285">
        <f t="shared" si="93"/>
        <v>400</v>
      </c>
      <c r="R1055" s="18">
        <f t="shared" si="93"/>
        <v>400</v>
      </c>
      <c r="S1055" s="219">
        <f t="shared" si="91"/>
        <v>100</v>
      </c>
    </row>
    <row r="1056" spans="2:19" x14ac:dyDescent="0.2">
      <c r="B1056" s="78">
        <f t="shared" si="92"/>
        <v>483</v>
      </c>
      <c r="C1056" s="3"/>
      <c r="D1056" s="3"/>
      <c r="E1056" s="3"/>
      <c r="F1056" s="25" t="s">
        <v>170</v>
      </c>
      <c r="G1056" s="3">
        <v>633</v>
      </c>
      <c r="H1056" s="3" t="s">
        <v>137</v>
      </c>
      <c r="I1056" s="18">
        <v>8000</v>
      </c>
      <c r="J1056" s="18">
        <v>8000</v>
      </c>
      <c r="K1056" s="218">
        <f t="shared" si="90"/>
        <v>100</v>
      </c>
      <c r="L1056" s="279"/>
      <c r="M1056" s="285"/>
      <c r="N1056" s="18"/>
      <c r="O1056" s="218"/>
      <c r="P1056" s="279"/>
      <c r="Q1056" s="285">
        <f t="shared" si="93"/>
        <v>8000</v>
      </c>
      <c r="R1056" s="18">
        <f t="shared" si="93"/>
        <v>8000</v>
      </c>
      <c r="S1056" s="219">
        <f t="shared" si="91"/>
        <v>100</v>
      </c>
    </row>
    <row r="1057" spans="2:19" x14ac:dyDescent="0.2">
      <c r="B1057" s="78">
        <f t="shared" si="92"/>
        <v>484</v>
      </c>
      <c r="C1057" s="3"/>
      <c r="D1057" s="3"/>
      <c r="E1057" s="3"/>
      <c r="F1057" s="25" t="s">
        <v>170</v>
      </c>
      <c r="G1057" s="3">
        <v>637</v>
      </c>
      <c r="H1057" s="3" t="s">
        <v>134</v>
      </c>
      <c r="I1057" s="18">
        <v>900</v>
      </c>
      <c r="J1057" s="18">
        <v>900</v>
      </c>
      <c r="K1057" s="218">
        <f t="shared" si="90"/>
        <v>100</v>
      </c>
      <c r="L1057" s="279"/>
      <c r="M1057" s="285"/>
      <c r="N1057" s="18"/>
      <c r="O1057" s="218"/>
      <c r="P1057" s="279"/>
      <c r="Q1057" s="285">
        <f t="shared" si="93"/>
        <v>900</v>
      </c>
      <c r="R1057" s="18">
        <f t="shared" si="93"/>
        <v>900</v>
      </c>
      <c r="S1057" s="219">
        <f t="shared" si="91"/>
        <v>100</v>
      </c>
    </row>
    <row r="1058" spans="2:19" x14ac:dyDescent="0.2">
      <c r="B1058" s="78">
        <f t="shared" si="92"/>
        <v>485</v>
      </c>
      <c r="C1058" s="7"/>
      <c r="D1058" s="7"/>
      <c r="E1058" s="7"/>
      <c r="F1058" s="24" t="s">
        <v>170</v>
      </c>
      <c r="G1058" s="7">
        <v>640</v>
      </c>
      <c r="H1058" s="7" t="s">
        <v>141</v>
      </c>
      <c r="I1058" s="22">
        <f>2800-1800</f>
        <v>1000</v>
      </c>
      <c r="J1058" s="22">
        <v>1000</v>
      </c>
      <c r="K1058" s="218">
        <f t="shared" si="90"/>
        <v>100</v>
      </c>
      <c r="L1058" s="278"/>
      <c r="M1058" s="284"/>
      <c r="N1058" s="22"/>
      <c r="O1058" s="218"/>
      <c r="P1058" s="278"/>
      <c r="Q1058" s="284">
        <f t="shared" si="93"/>
        <v>1000</v>
      </c>
      <c r="R1058" s="22">
        <f t="shared" si="93"/>
        <v>1000</v>
      </c>
      <c r="S1058" s="219">
        <f t="shared" si="91"/>
        <v>100</v>
      </c>
    </row>
    <row r="1059" spans="2:19" ht="15" x14ac:dyDescent="0.25">
      <c r="B1059" s="78">
        <f t="shared" si="92"/>
        <v>486</v>
      </c>
      <c r="C1059" s="10"/>
      <c r="D1059" s="10"/>
      <c r="E1059" s="10">
        <v>13</v>
      </c>
      <c r="F1059" s="27"/>
      <c r="G1059" s="10"/>
      <c r="H1059" s="10" t="s">
        <v>19</v>
      </c>
      <c r="I1059" s="37">
        <f>I1060+I1061+I1062</f>
        <v>45238</v>
      </c>
      <c r="J1059" s="37">
        <f>J1060+J1061+J1062</f>
        <v>45238</v>
      </c>
      <c r="K1059" s="218">
        <f t="shared" si="90"/>
        <v>100</v>
      </c>
      <c r="L1059" s="295"/>
      <c r="M1059" s="299">
        <v>0</v>
      </c>
      <c r="N1059" s="37">
        <v>0</v>
      </c>
      <c r="O1059" s="218"/>
      <c r="P1059" s="295"/>
      <c r="Q1059" s="299">
        <f t="shared" si="93"/>
        <v>45238</v>
      </c>
      <c r="R1059" s="37">
        <f t="shared" si="93"/>
        <v>45238</v>
      </c>
      <c r="S1059" s="219">
        <f t="shared" si="91"/>
        <v>100</v>
      </c>
    </row>
    <row r="1060" spans="2:19" x14ac:dyDescent="0.2">
      <c r="B1060" s="78">
        <f t="shared" si="92"/>
        <v>487</v>
      </c>
      <c r="C1060" s="7"/>
      <c r="D1060" s="7"/>
      <c r="E1060" s="7"/>
      <c r="F1060" s="24" t="s">
        <v>170</v>
      </c>
      <c r="G1060" s="7">
        <v>610</v>
      </c>
      <c r="H1060" s="7" t="s">
        <v>143</v>
      </c>
      <c r="I1060" s="22">
        <v>28500</v>
      </c>
      <c r="J1060" s="22">
        <v>28500</v>
      </c>
      <c r="K1060" s="218">
        <f t="shared" si="90"/>
        <v>100</v>
      </c>
      <c r="L1060" s="278"/>
      <c r="M1060" s="284"/>
      <c r="N1060" s="22"/>
      <c r="O1060" s="218"/>
      <c r="P1060" s="278"/>
      <c r="Q1060" s="284">
        <f t="shared" si="93"/>
        <v>28500</v>
      </c>
      <c r="R1060" s="22">
        <f t="shared" si="93"/>
        <v>28500</v>
      </c>
      <c r="S1060" s="219">
        <f t="shared" si="91"/>
        <v>100</v>
      </c>
    </row>
    <row r="1061" spans="2:19" x14ac:dyDescent="0.2">
      <c r="B1061" s="78">
        <f t="shared" si="92"/>
        <v>488</v>
      </c>
      <c r="C1061" s="7"/>
      <c r="D1061" s="7"/>
      <c r="E1061" s="7"/>
      <c r="F1061" s="24" t="s">
        <v>170</v>
      </c>
      <c r="G1061" s="7">
        <v>620</v>
      </c>
      <c r="H1061" s="7" t="s">
        <v>136</v>
      </c>
      <c r="I1061" s="22">
        <v>9960</v>
      </c>
      <c r="J1061" s="22">
        <v>9960</v>
      </c>
      <c r="K1061" s="218">
        <f t="shared" si="90"/>
        <v>100</v>
      </c>
      <c r="L1061" s="278"/>
      <c r="M1061" s="284"/>
      <c r="N1061" s="22"/>
      <c r="O1061" s="218"/>
      <c r="P1061" s="278"/>
      <c r="Q1061" s="284">
        <f t="shared" si="93"/>
        <v>9960</v>
      </c>
      <c r="R1061" s="22">
        <f t="shared" si="93"/>
        <v>9960</v>
      </c>
      <c r="S1061" s="219">
        <f t="shared" si="91"/>
        <v>100</v>
      </c>
    </row>
    <row r="1062" spans="2:19" x14ac:dyDescent="0.2">
      <c r="B1062" s="78">
        <f t="shared" si="92"/>
        <v>489</v>
      </c>
      <c r="C1062" s="7"/>
      <c r="D1062" s="7"/>
      <c r="E1062" s="7"/>
      <c r="F1062" s="24" t="s">
        <v>170</v>
      </c>
      <c r="G1062" s="7">
        <v>630</v>
      </c>
      <c r="H1062" s="7" t="s">
        <v>133</v>
      </c>
      <c r="I1062" s="22">
        <f>SUM(I1063:I1065)</f>
        <v>6778</v>
      </c>
      <c r="J1062" s="22">
        <f>SUM(J1063:J1065)</f>
        <v>6778</v>
      </c>
      <c r="K1062" s="218">
        <f t="shared" si="90"/>
        <v>100</v>
      </c>
      <c r="L1062" s="278"/>
      <c r="M1062" s="284"/>
      <c r="N1062" s="22"/>
      <c r="O1062" s="218"/>
      <c r="P1062" s="278"/>
      <c r="Q1062" s="284">
        <f t="shared" si="93"/>
        <v>6778</v>
      </c>
      <c r="R1062" s="22">
        <f t="shared" si="93"/>
        <v>6778</v>
      </c>
      <c r="S1062" s="219">
        <f t="shared" si="91"/>
        <v>100</v>
      </c>
    </row>
    <row r="1063" spans="2:19" x14ac:dyDescent="0.2">
      <c r="B1063" s="78">
        <f t="shared" si="92"/>
        <v>490</v>
      </c>
      <c r="C1063" s="3"/>
      <c r="D1063" s="3"/>
      <c r="E1063" s="3"/>
      <c r="F1063" s="25" t="s">
        <v>170</v>
      </c>
      <c r="G1063" s="3">
        <v>632</v>
      </c>
      <c r="H1063" s="3" t="s">
        <v>146</v>
      </c>
      <c r="I1063" s="18">
        <f>5000+820</f>
        <v>5820</v>
      </c>
      <c r="J1063" s="18">
        <v>5820</v>
      </c>
      <c r="K1063" s="218">
        <f t="shared" si="90"/>
        <v>100</v>
      </c>
      <c r="L1063" s="279"/>
      <c r="M1063" s="285"/>
      <c r="N1063" s="18"/>
      <c r="O1063" s="218"/>
      <c r="P1063" s="279"/>
      <c r="Q1063" s="285">
        <f t="shared" si="93"/>
        <v>5820</v>
      </c>
      <c r="R1063" s="18">
        <f t="shared" si="93"/>
        <v>5820</v>
      </c>
      <c r="S1063" s="219">
        <f t="shared" si="91"/>
        <v>100</v>
      </c>
    </row>
    <row r="1064" spans="2:19" x14ac:dyDescent="0.2">
      <c r="B1064" s="78">
        <f t="shared" si="92"/>
        <v>491</v>
      </c>
      <c r="C1064" s="3"/>
      <c r="D1064" s="3"/>
      <c r="E1064" s="3"/>
      <c r="F1064" s="25" t="s">
        <v>170</v>
      </c>
      <c r="G1064" s="3">
        <v>633</v>
      </c>
      <c r="H1064" s="3" t="s">
        <v>137</v>
      </c>
      <c r="I1064" s="18">
        <v>265</v>
      </c>
      <c r="J1064" s="18">
        <v>265</v>
      </c>
      <c r="K1064" s="218">
        <f t="shared" si="90"/>
        <v>100</v>
      </c>
      <c r="L1064" s="279"/>
      <c r="M1064" s="285"/>
      <c r="N1064" s="18"/>
      <c r="O1064" s="218"/>
      <c r="P1064" s="279"/>
      <c r="Q1064" s="285">
        <f t="shared" si="93"/>
        <v>265</v>
      </c>
      <c r="R1064" s="18">
        <f t="shared" si="93"/>
        <v>265</v>
      </c>
      <c r="S1064" s="219">
        <f t="shared" si="91"/>
        <v>100</v>
      </c>
    </row>
    <row r="1065" spans="2:19" x14ac:dyDescent="0.2">
      <c r="B1065" s="78">
        <f t="shared" si="92"/>
        <v>492</v>
      </c>
      <c r="C1065" s="3"/>
      <c r="D1065" s="3"/>
      <c r="E1065" s="3"/>
      <c r="F1065" s="25" t="s">
        <v>170</v>
      </c>
      <c r="G1065" s="3">
        <v>637</v>
      </c>
      <c r="H1065" s="3" t="s">
        <v>134</v>
      </c>
      <c r="I1065" s="18">
        <v>693</v>
      </c>
      <c r="J1065" s="18">
        <v>693</v>
      </c>
      <c r="K1065" s="218">
        <f t="shared" si="90"/>
        <v>100</v>
      </c>
      <c r="L1065" s="279"/>
      <c r="M1065" s="285"/>
      <c r="N1065" s="18"/>
      <c r="O1065" s="218"/>
      <c r="P1065" s="279"/>
      <c r="Q1065" s="285">
        <f t="shared" si="93"/>
        <v>693</v>
      </c>
      <c r="R1065" s="18">
        <f t="shared" si="93"/>
        <v>693</v>
      </c>
      <c r="S1065" s="219">
        <f t="shared" si="91"/>
        <v>100</v>
      </c>
    </row>
    <row r="1066" spans="2:19" ht="15" x14ac:dyDescent="0.25">
      <c r="B1066" s="78">
        <f t="shared" si="92"/>
        <v>493</v>
      </c>
      <c r="C1066" s="10"/>
      <c r="D1066" s="10"/>
      <c r="E1066" s="10">
        <v>14</v>
      </c>
      <c r="F1066" s="27"/>
      <c r="G1066" s="10"/>
      <c r="H1066" s="10" t="s">
        <v>404</v>
      </c>
      <c r="I1066" s="37">
        <f>I1067+I1068+I1069+I1076</f>
        <v>1035313</v>
      </c>
      <c r="J1066" s="37">
        <f>J1067+J1068+J1069+J1076</f>
        <v>1033454</v>
      </c>
      <c r="K1066" s="218">
        <f t="shared" si="90"/>
        <v>99.820440774915411</v>
      </c>
      <c r="L1066" s="295"/>
      <c r="M1066" s="299">
        <v>0</v>
      </c>
      <c r="N1066" s="37">
        <v>0</v>
      </c>
      <c r="O1066" s="218"/>
      <c r="P1066" s="295"/>
      <c r="Q1066" s="299">
        <f t="shared" si="93"/>
        <v>1035313</v>
      </c>
      <c r="R1066" s="37">
        <f t="shared" si="93"/>
        <v>1033454</v>
      </c>
      <c r="S1066" s="219">
        <f t="shared" si="91"/>
        <v>99.820440774915411</v>
      </c>
    </row>
    <row r="1067" spans="2:19" x14ac:dyDescent="0.2">
      <c r="B1067" s="78">
        <f t="shared" si="92"/>
        <v>494</v>
      </c>
      <c r="C1067" s="7"/>
      <c r="D1067" s="7"/>
      <c r="E1067" s="7"/>
      <c r="F1067" s="24" t="s">
        <v>170</v>
      </c>
      <c r="G1067" s="7">
        <v>610</v>
      </c>
      <c r="H1067" s="7" t="s">
        <v>143</v>
      </c>
      <c r="I1067" s="22">
        <f>627156+47000+50+6973</f>
        <v>681179</v>
      </c>
      <c r="J1067" s="22">
        <v>680771</v>
      </c>
      <c r="K1067" s="218">
        <f t="shared" si="90"/>
        <v>99.94010384935531</v>
      </c>
      <c r="L1067" s="278"/>
      <c r="M1067" s="284"/>
      <c r="N1067" s="22"/>
      <c r="O1067" s="218"/>
      <c r="P1067" s="278"/>
      <c r="Q1067" s="284">
        <f t="shared" si="93"/>
        <v>681179</v>
      </c>
      <c r="R1067" s="22">
        <f t="shared" si="93"/>
        <v>680771</v>
      </c>
      <c r="S1067" s="219">
        <f t="shared" si="91"/>
        <v>99.94010384935531</v>
      </c>
    </row>
    <row r="1068" spans="2:19" x14ac:dyDescent="0.2">
      <c r="B1068" s="78">
        <f t="shared" si="92"/>
        <v>495</v>
      </c>
      <c r="C1068" s="7"/>
      <c r="D1068" s="7"/>
      <c r="E1068" s="7"/>
      <c r="F1068" s="24" t="s">
        <v>170</v>
      </c>
      <c r="G1068" s="7">
        <v>620</v>
      </c>
      <c r="H1068" s="7" t="s">
        <v>136</v>
      </c>
      <c r="I1068" s="22">
        <f>219024+16000+10-3000</f>
        <v>232034</v>
      </c>
      <c r="J1068" s="22">
        <v>231780</v>
      </c>
      <c r="K1068" s="218">
        <f t="shared" si="90"/>
        <v>99.890533283915289</v>
      </c>
      <c r="L1068" s="278"/>
      <c r="M1068" s="284"/>
      <c r="N1068" s="22"/>
      <c r="O1068" s="218"/>
      <c r="P1068" s="278"/>
      <c r="Q1068" s="284">
        <f t="shared" si="93"/>
        <v>232034</v>
      </c>
      <c r="R1068" s="22">
        <f t="shared" si="93"/>
        <v>231780</v>
      </c>
      <c r="S1068" s="219">
        <f t="shared" si="91"/>
        <v>99.890533283915289</v>
      </c>
    </row>
    <row r="1069" spans="2:19" x14ac:dyDescent="0.2">
      <c r="B1069" s="78">
        <f t="shared" si="92"/>
        <v>496</v>
      </c>
      <c r="C1069" s="7"/>
      <c r="D1069" s="7"/>
      <c r="E1069" s="7"/>
      <c r="F1069" s="24" t="s">
        <v>170</v>
      </c>
      <c r="G1069" s="7">
        <v>630</v>
      </c>
      <c r="H1069" s="7" t="s">
        <v>133</v>
      </c>
      <c r="I1069" s="22">
        <f>SUM(I1070:I1075)</f>
        <v>118566</v>
      </c>
      <c r="J1069" s="22">
        <f>SUM(J1070:J1075)</f>
        <v>117370</v>
      </c>
      <c r="K1069" s="218">
        <f t="shared" si="90"/>
        <v>98.991279118803035</v>
      </c>
      <c r="L1069" s="278"/>
      <c r="M1069" s="284"/>
      <c r="N1069" s="22"/>
      <c r="O1069" s="218"/>
      <c r="P1069" s="278"/>
      <c r="Q1069" s="284">
        <f t="shared" si="93"/>
        <v>118566</v>
      </c>
      <c r="R1069" s="22">
        <f t="shared" si="93"/>
        <v>117370</v>
      </c>
      <c r="S1069" s="219">
        <f t="shared" si="91"/>
        <v>98.991279118803035</v>
      </c>
    </row>
    <row r="1070" spans="2:19" x14ac:dyDescent="0.2">
      <c r="B1070" s="78">
        <f t="shared" si="92"/>
        <v>497</v>
      </c>
      <c r="C1070" s="3"/>
      <c r="D1070" s="3"/>
      <c r="E1070" s="3"/>
      <c r="F1070" s="25" t="s">
        <v>170</v>
      </c>
      <c r="G1070" s="3">
        <v>631</v>
      </c>
      <c r="H1070" s="3" t="s">
        <v>139</v>
      </c>
      <c r="I1070" s="18">
        <f>400+100</f>
        <v>500</v>
      </c>
      <c r="J1070" s="18">
        <v>451</v>
      </c>
      <c r="K1070" s="218">
        <f t="shared" si="90"/>
        <v>90.2</v>
      </c>
      <c r="L1070" s="279"/>
      <c r="M1070" s="285"/>
      <c r="N1070" s="18"/>
      <c r="O1070" s="218"/>
      <c r="P1070" s="279"/>
      <c r="Q1070" s="285">
        <f t="shared" si="93"/>
        <v>500</v>
      </c>
      <c r="R1070" s="18">
        <f t="shared" si="93"/>
        <v>451</v>
      </c>
      <c r="S1070" s="219">
        <f t="shared" si="91"/>
        <v>90.2</v>
      </c>
    </row>
    <row r="1071" spans="2:19" x14ac:dyDescent="0.2">
      <c r="B1071" s="78">
        <f t="shared" si="92"/>
        <v>498</v>
      </c>
      <c r="C1071" s="3"/>
      <c r="D1071" s="3"/>
      <c r="E1071" s="3"/>
      <c r="F1071" s="25" t="s">
        <v>170</v>
      </c>
      <c r="G1071" s="3">
        <v>632</v>
      </c>
      <c r="H1071" s="3" t="s">
        <v>146</v>
      </c>
      <c r="I1071" s="18">
        <f>29400-4000-1000-500</f>
        <v>23900</v>
      </c>
      <c r="J1071" s="18">
        <v>22810</v>
      </c>
      <c r="K1071" s="218">
        <f t="shared" si="90"/>
        <v>95.439330543933053</v>
      </c>
      <c r="L1071" s="279"/>
      <c r="M1071" s="285"/>
      <c r="N1071" s="18"/>
      <c r="O1071" s="218"/>
      <c r="P1071" s="279"/>
      <c r="Q1071" s="285">
        <f t="shared" si="93"/>
        <v>23900</v>
      </c>
      <c r="R1071" s="18">
        <f t="shared" si="93"/>
        <v>22810</v>
      </c>
      <c r="S1071" s="219">
        <f t="shared" si="91"/>
        <v>95.439330543933053</v>
      </c>
    </row>
    <row r="1072" spans="2:19" x14ac:dyDescent="0.2">
      <c r="B1072" s="78">
        <f t="shared" si="92"/>
        <v>499</v>
      </c>
      <c r="C1072" s="3"/>
      <c r="D1072" s="3"/>
      <c r="E1072" s="3"/>
      <c r="F1072" s="25" t="s">
        <v>170</v>
      </c>
      <c r="G1072" s="3">
        <v>633</v>
      </c>
      <c r="H1072" s="3" t="s">
        <v>137</v>
      </c>
      <c r="I1072" s="18">
        <f>32930-3300+4000</f>
        <v>33630</v>
      </c>
      <c r="J1072" s="18">
        <v>33629</v>
      </c>
      <c r="K1072" s="218">
        <f t="shared" si="90"/>
        <v>99.997026464466259</v>
      </c>
      <c r="L1072" s="279"/>
      <c r="M1072" s="285"/>
      <c r="N1072" s="18"/>
      <c r="O1072" s="218"/>
      <c r="P1072" s="279"/>
      <c r="Q1072" s="285">
        <f t="shared" si="93"/>
        <v>33630</v>
      </c>
      <c r="R1072" s="18">
        <f t="shared" si="93"/>
        <v>33629</v>
      </c>
      <c r="S1072" s="219">
        <f t="shared" si="91"/>
        <v>99.997026464466259</v>
      </c>
    </row>
    <row r="1073" spans="2:19" x14ac:dyDescent="0.2">
      <c r="B1073" s="78">
        <f t="shared" si="92"/>
        <v>500</v>
      </c>
      <c r="C1073" s="3"/>
      <c r="D1073" s="3"/>
      <c r="E1073" s="3"/>
      <c r="F1073" s="25" t="s">
        <v>170</v>
      </c>
      <c r="G1073" s="3">
        <v>635</v>
      </c>
      <c r="H1073" s="3" t="s">
        <v>145</v>
      </c>
      <c r="I1073" s="18">
        <f>5700+11300+100</f>
        <v>17100</v>
      </c>
      <c r="J1073" s="18">
        <v>17100</v>
      </c>
      <c r="K1073" s="218">
        <f t="shared" si="90"/>
        <v>100</v>
      </c>
      <c r="L1073" s="279"/>
      <c r="M1073" s="285"/>
      <c r="N1073" s="18"/>
      <c r="O1073" s="218"/>
      <c r="P1073" s="279"/>
      <c r="Q1073" s="285">
        <f t="shared" si="93"/>
        <v>17100</v>
      </c>
      <c r="R1073" s="18">
        <f t="shared" si="93"/>
        <v>17100</v>
      </c>
      <c r="S1073" s="219">
        <f t="shared" si="91"/>
        <v>100</v>
      </c>
    </row>
    <row r="1074" spans="2:19" x14ac:dyDescent="0.2">
      <c r="B1074" s="78">
        <f t="shared" si="92"/>
        <v>501</v>
      </c>
      <c r="C1074" s="3"/>
      <c r="D1074" s="3"/>
      <c r="E1074" s="3"/>
      <c r="F1074" s="25" t="s">
        <v>170</v>
      </c>
      <c r="G1074" s="3">
        <v>636</v>
      </c>
      <c r="H1074" s="3" t="s">
        <v>138</v>
      </c>
      <c r="I1074" s="18">
        <f>500-334</f>
        <v>166</v>
      </c>
      <c r="J1074" s="18">
        <v>166</v>
      </c>
      <c r="K1074" s="218">
        <f t="shared" si="90"/>
        <v>100</v>
      </c>
      <c r="L1074" s="279"/>
      <c r="M1074" s="285"/>
      <c r="N1074" s="18"/>
      <c r="O1074" s="218"/>
      <c r="P1074" s="279"/>
      <c r="Q1074" s="285">
        <f t="shared" si="93"/>
        <v>166</v>
      </c>
      <c r="R1074" s="18">
        <f t="shared" si="93"/>
        <v>166</v>
      </c>
      <c r="S1074" s="219">
        <f t="shared" si="91"/>
        <v>100</v>
      </c>
    </row>
    <row r="1075" spans="2:19" x14ac:dyDescent="0.2">
      <c r="B1075" s="78">
        <f t="shared" si="92"/>
        <v>502</v>
      </c>
      <c r="C1075" s="3"/>
      <c r="D1075" s="3"/>
      <c r="E1075" s="3"/>
      <c r="F1075" s="25" t="s">
        <v>170</v>
      </c>
      <c r="G1075" s="3">
        <v>637</v>
      </c>
      <c r="H1075" s="3" t="s">
        <v>134</v>
      </c>
      <c r="I1075" s="18">
        <f>48670-4000-1400</f>
        <v>43270</v>
      </c>
      <c r="J1075" s="18">
        <v>43214</v>
      </c>
      <c r="K1075" s="218">
        <f t="shared" si="90"/>
        <v>99.870580078576381</v>
      </c>
      <c r="L1075" s="279"/>
      <c r="M1075" s="285"/>
      <c r="N1075" s="18"/>
      <c r="O1075" s="218"/>
      <c r="P1075" s="279"/>
      <c r="Q1075" s="285">
        <f t="shared" si="93"/>
        <v>43270</v>
      </c>
      <c r="R1075" s="18">
        <f t="shared" si="93"/>
        <v>43214</v>
      </c>
      <c r="S1075" s="219">
        <f t="shared" si="91"/>
        <v>99.870580078576381</v>
      </c>
    </row>
    <row r="1076" spans="2:19" x14ac:dyDescent="0.2">
      <c r="B1076" s="78">
        <f t="shared" si="92"/>
        <v>503</v>
      </c>
      <c r="C1076" s="7"/>
      <c r="D1076" s="7"/>
      <c r="E1076" s="7"/>
      <c r="F1076" s="24" t="s">
        <v>170</v>
      </c>
      <c r="G1076" s="7">
        <v>640</v>
      </c>
      <c r="H1076" s="7" t="s">
        <v>141</v>
      </c>
      <c r="I1076" s="22">
        <f>5500-1966</f>
        <v>3534</v>
      </c>
      <c r="J1076" s="22">
        <v>3533</v>
      </c>
      <c r="K1076" s="218">
        <f t="shared" si="90"/>
        <v>99.971703452178843</v>
      </c>
      <c r="L1076" s="278"/>
      <c r="M1076" s="284"/>
      <c r="N1076" s="22"/>
      <c r="O1076" s="218"/>
      <c r="P1076" s="278"/>
      <c r="Q1076" s="284">
        <f t="shared" si="93"/>
        <v>3534</v>
      </c>
      <c r="R1076" s="22">
        <f t="shared" si="93"/>
        <v>3533</v>
      </c>
      <c r="S1076" s="219">
        <f t="shared" si="91"/>
        <v>99.971703452178843</v>
      </c>
    </row>
    <row r="1077" spans="2:19" ht="15" x14ac:dyDescent="0.2">
      <c r="B1077" s="78">
        <f t="shared" si="92"/>
        <v>504</v>
      </c>
      <c r="C1077" s="430">
        <v>4</v>
      </c>
      <c r="D1077" s="505" t="s">
        <v>173</v>
      </c>
      <c r="E1077" s="494"/>
      <c r="F1077" s="494"/>
      <c r="G1077" s="494"/>
      <c r="H1077" s="495"/>
      <c r="I1077" s="35">
        <f>I1078+I1085+I1194+I1212+I1230+I1235+I1255+I1273+I1289+I1310</f>
        <v>2494373</v>
      </c>
      <c r="J1077" s="35">
        <f>J1078+J1085+J1194+J1212+J1230+J1235+J1255+J1273+J1289+J1310</f>
        <v>2598057</v>
      </c>
      <c r="K1077" s="218">
        <f t="shared" si="90"/>
        <v>104.15671593622926</v>
      </c>
      <c r="L1077" s="276"/>
      <c r="M1077" s="282">
        <f>M1235+M1289+M1182</f>
        <v>47796</v>
      </c>
      <c r="N1077" s="35">
        <f>N1235+N1289+N1182</f>
        <v>35879</v>
      </c>
      <c r="O1077" s="218">
        <f t="shared" ref="O1077" si="94">N1077/M1077*100</f>
        <v>75.066951209306225</v>
      </c>
      <c r="P1077" s="276"/>
      <c r="Q1077" s="282">
        <f t="shared" si="93"/>
        <v>2542169</v>
      </c>
      <c r="R1077" s="35">
        <f t="shared" si="93"/>
        <v>2633936</v>
      </c>
      <c r="S1077" s="219">
        <f t="shared" si="91"/>
        <v>103.60979148121152</v>
      </c>
    </row>
    <row r="1078" spans="2:19" x14ac:dyDescent="0.2">
      <c r="B1078" s="78">
        <f t="shared" si="92"/>
        <v>505</v>
      </c>
      <c r="C1078" s="7"/>
      <c r="D1078" s="7"/>
      <c r="E1078" s="7"/>
      <c r="F1078" s="24" t="s">
        <v>172</v>
      </c>
      <c r="G1078" s="7">
        <v>640</v>
      </c>
      <c r="H1078" s="7" t="s">
        <v>141</v>
      </c>
      <c r="I1078" s="22">
        <f>I1079</f>
        <v>70697</v>
      </c>
      <c r="J1078" s="22">
        <f>J1079</f>
        <v>70697</v>
      </c>
      <c r="K1078" s="218">
        <f t="shared" si="90"/>
        <v>100</v>
      </c>
      <c r="L1078" s="278"/>
      <c r="M1078" s="284"/>
      <c r="N1078" s="22"/>
      <c r="O1078" s="218"/>
      <c r="P1078" s="278"/>
      <c r="Q1078" s="284">
        <f t="shared" si="93"/>
        <v>70697</v>
      </c>
      <c r="R1078" s="22">
        <f t="shared" si="93"/>
        <v>70697</v>
      </c>
      <c r="S1078" s="219">
        <f t="shared" si="91"/>
        <v>100</v>
      </c>
    </row>
    <row r="1079" spans="2:19" x14ac:dyDescent="0.2">
      <c r="B1079" s="78">
        <f t="shared" si="92"/>
        <v>506</v>
      </c>
      <c r="C1079" s="3"/>
      <c r="D1079" s="3"/>
      <c r="E1079" s="3"/>
      <c r="F1079" s="25" t="s">
        <v>172</v>
      </c>
      <c r="G1079" s="3">
        <v>642</v>
      </c>
      <c r="H1079" s="3" t="s">
        <v>142</v>
      </c>
      <c r="I1079" s="18">
        <f>SUM(I1080:I1084)</f>
        <v>70697</v>
      </c>
      <c r="J1079" s="18">
        <f>SUM(J1080:J1084)</f>
        <v>70697</v>
      </c>
      <c r="K1079" s="218">
        <f t="shared" si="90"/>
        <v>100</v>
      </c>
      <c r="L1079" s="279"/>
      <c r="M1079" s="285"/>
      <c r="N1079" s="18"/>
      <c r="O1079" s="218"/>
      <c r="P1079" s="279"/>
      <c r="Q1079" s="285">
        <f t="shared" si="93"/>
        <v>70697</v>
      </c>
      <c r="R1079" s="18">
        <f t="shared" si="93"/>
        <v>70697</v>
      </c>
      <c r="S1079" s="219">
        <f t="shared" si="91"/>
        <v>100</v>
      </c>
    </row>
    <row r="1080" spans="2:19" x14ac:dyDescent="0.2">
      <c r="B1080" s="78">
        <f t="shared" si="92"/>
        <v>507</v>
      </c>
      <c r="C1080" s="4"/>
      <c r="D1080" s="4"/>
      <c r="E1080" s="4"/>
      <c r="F1080" s="26"/>
      <c r="G1080" s="4"/>
      <c r="H1080" s="4" t="s">
        <v>540</v>
      </c>
      <c r="I1080" s="20">
        <f>23602+3636</f>
        <v>27238</v>
      </c>
      <c r="J1080" s="20">
        <v>27238</v>
      </c>
      <c r="K1080" s="218">
        <f t="shared" si="90"/>
        <v>100</v>
      </c>
      <c r="L1080" s="280"/>
      <c r="M1080" s="286"/>
      <c r="N1080" s="20"/>
      <c r="O1080" s="218"/>
      <c r="P1080" s="280"/>
      <c r="Q1080" s="286">
        <f t="shared" si="93"/>
        <v>27238</v>
      </c>
      <c r="R1080" s="20">
        <f t="shared" si="93"/>
        <v>27238</v>
      </c>
      <c r="S1080" s="219">
        <f t="shared" si="91"/>
        <v>100</v>
      </c>
    </row>
    <row r="1081" spans="2:19" x14ac:dyDescent="0.2">
      <c r="B1081" s="78">
        <f t="shared" si="92"/>
        <v>508</v>
      </c>
      <c r="C1081" s="4"/>
      <c r="D1081" s="4"/>
      <c r="E1081" s="4"/>
      <c r="F1081" s="26"/>
      <c r="G1081" s="4"/>
      <c r="H1081" s="4" t="s">
        <v>541</v>
      </c>
      <c r="I1081" s="20">
        <f>19756+3044</f>
        <v>22800</v>
      </c>
      <c r="J1081" s="20">
        <v>22800</v>
      </c>
      <c r="K1081" s="218">
        <f t="shared" si="90"/>
        <v>100</v>
      </c>
      <c r="L1081" s="280"/>
      <c r="M1081" s="286"/>
      <c r="N1081" s="20"/>
      <c r="O1081" s="218"/>
      <c r="P1081" s="280"/>
      <c r="Q1081" s="286">
        <f t="shared" si="93"/>
        <v>22800</v>
      </c>
      <c r="R1081" s="20">
        <f t="shared" si="93"/>
        <v>22800</v>
      </c>
      <c r="S1081" s="219">
        <f t="shared" si="91"/>
        <v>100</v>
      </c>
    </row>
    <row r="1082" spans="2:19" x14ac:dyDescent="0.2">
      <c r="B1082" s="78">
        <f t="shared" si="92"/>
        <v>509</v>
      </c>
      <c r="C1082" s="4"/>
      <c r="D1082" s="4"/>
      <c r="E1082" s="4"/>
      <c r="F1082" s="26"/>
      <c r="G1082" s="4"/>
      <c r="H1082" s="4" t="s">
        <v>542</v>
      </c>
      <c r="I1082" s="20">
        <f>12199+1879</f>
        <v>14078</v>
      </c>
      <c r="J1082" s="20">
        <v>14078</v>
      </c>
      <c r="K1082" s="218">
        <f t="shared" si="90"/>
        <v>100</v>
      </c>
      <c r="L1082" s="280"/>
      <c r="M1082" s="286"/>
      <c r="N1082" s="20"/>
      <c r="O1082" s="218"/>
      <c r="P1082" s="280"/>
      <c r="Q1082" s="286">
        <f t="shared" si="93"/>
        <v>14078</v>
      </c>
      <c r="R1082" s="20">
        <f t="shared" si="93"/>
        <v>14078</v>
      </c>
      <c r="S1082" s="219">
        <f t="shared" si="91"/>
        <v>100</v>
      </c>
    </row>
    <row r="1083" spans="2:19" x14ac:dyDescent="0.2">
      <c r="B1083" s="78">
        <f t="shared" si="92"/>
        <v>510</v>
      </c>
      <c r="C1083" s="4"/>
      <c r="D1083" s="4"/>
      <c r="E1083" s="4"/>
      <c r="F1083" s="26"/>
      <c r="G1083" s="4"/>
      <c r="H1083" s="4" t="s">
        <v>543</v>
      </c>
      <c r="I1083" s="20">
        <f>1326+205</f>
        <v>1531</v>
      </c>
      <c r="J1083" s="20">
        <v>1531</v>
      </c>
      <c r="K1083" s="218">
        <f t="shared" ref="K1083:K1146" si="95">J1083/I1083*100</f>
        <v>100</v>
      </c>
      <c r="L1083" s="280"/>
      <c r="M1083" s="286"/>
      <c r="N1083" s="20"/>
      <c r="O1083" s="218"/>
      <c r="P1083" s="280"/>
      <c r="Q1083" s="286">
        <f t="shared" si="93"/>
        <v>1531</v>
      </c>
      <c r="R1083" s="20">
        <f t="shared" si="93"/>
        <v>1531</v>
      </c>
      <c r="S1083" s="219">
        <f t="shared" si="91"/>
        <v>100</v>
      </c>
    </row>
    <row r="1084" spans="2:19" x14ac:dyDescent="0.2">
      <c r="B1084" s="78">
        <f t="shared" si="92"/>
        <v>511</v>
      </c>
      <c r="C1084" s="4"/>
      <c r="D1084" s="4"/>
      <c r="E1084" s="4"/>
      <c r="F1084" s="26"/>
      <c r="G1084" s="4"/>
      <c r="H1084" s="4" t="s">
        <v>544</v>
      </c>
      <c r="I1084" s="20">
        <f>4376+674</f>
        <v>5050</v>
      </c>
      <c r="J1084" s="20">
        <v>5050</v>
      </c>
      <c r="K1084" s="218">
        <f t="shared" si="95"/>
        <v>100</v>
      </c>
      <c r="L1084" s="280"/>
      <c r="M1084" s="286"/>
      <c r="N1084" s="20"/>
      <c r="O1084" s="218"/>
      <c r="P1084" s="280"/>
      <c r="Q1084" s="286">
        <f t="shared" si="93"/>
        <v>5050</v>
      </c>
      <c r="R1084" s="20">
        <f t="shared" si="93"/>
        <v>5050</v>
      </c>
      <c r="S1084" s="219">
        <f t="shared" si="91"/>
        <v>100</v>
      </c>
    </row>
    <row r="1085" spans="2:19" ht="15" x14ac:dyDescent="0.25">
      <c r="B1085" s="78">
        <f t="shared" si="92"/>
        <v>512</v>
      </c>
      <c r="C1085" s="10"/>
      <c r="D1085" s="10"/>
      <c r="E1085" s="10">
        <v>4</v>
      </c>
      <c r="F1085" s="27"/>
      <c r="G1085" s="10"/>
      <c r="H1085" s="10" t="s">
        <v>403</v>
      </c>
      <c r="I1085" s="37">
        <f>I1086+I1094+I1102+I1109+I1117+I1125+I1133+I1140+I1148+I1156+I1162+I1168+I1175+I1182</f>
        <v>771737</v>
      </c>
      <c r="J1085" s="37">
        <f>J1086+J1094+J1102+J1109+J1117+J1125+J1133+J1140+J1148+J1156+J1162+J1168+J1175+J1182</f>
        <v>783254</v>
      </c>
      <c r="K1085" s="218">
        <f t="shared" si="95"/>
        <v>101.49234778169247</v>
      </c>
      <c r="L1085" s="295"/>
      <c r="M1085" s="299">
        <v>0</v>
      </c>
      <c r="N1085" s="37">
        <v>0</v>
      </c>
      <c r="O1085" s="218"/>
      <c r="P1085" s="295"/>
      <c r="Q1085" s="299">
        <f t="shared" si="93"/>
        <v>771737</v>
      </c>
      <c r="R1085" s="37">
        <f t="shared" si="93"/>
        <v>783254</v>
      </c>
      <c r="S1085" s="219">
        <f t="shared" si="91"/>
        <v>101.49234778169247</v>
      </c>
    </row>
    <row r="1086" spans="2:19" x14ac:dyDescent="0.2">
      <c r="B1086" s="78">
        <f t="shared" si="92"/>
        <v>513</v>
      </c>
      <c r="C1086" s="6"/>
      <c r="D1086" s="6"/>
      <c r="E1086" s="6" t="s">
        <v>101</v>
      </c>
      <c r="F1086" s="28"/>
      <c r="G1086" s="6"/>
      <c r="H1086" s="6" t="s">
        <v>72</v>
      </c>
      <c r="I1086" s="39">
        <f>I1087+I1088+I1089+I1093</f>
        <v>39110</v>
      </c>
      <c r="J1086" s="39">
        <f>J1087+J1088+J1089+J1093</f>
        <v>40371</v>
      </c>
      <c r="K1086" s="218">
        <f t="shared" si="95"/>
        <v>103.22423932498081</v>
      </c>
      <c r="L1086" s="278"/>
      <c r="M1086" s="343">
        <v>0</v>
      </c>
      <c r="N1086" s="39">
        <v>0</v>
      </c>
      <c r="O1086" s="218"/>
      <c r="P1086" s="278"/>
      <c r="Q1086" s="343">
        <f t="shared" si="93"/>
        <v>39110</v>
      </c>
      <c r="R1086" s="39">
        <f t="shared" si="93"/>
        <v>40371</v>
      </c>
      <c r="S1086" s="219">
        <f t="shared" ref="S1086:S1149" si="96">R1086/Q1086*100</f>
        <v>103.22423932498081</v>
      </c>
    </row>
    <row r="1087" spans="2:19" x14ac:dyDescent="0.2">
      <c r="B1087" s="78">
        <f t="shared" si="92"/>
        <v>514</v>
      </c>
      <c r="C1087" s="7"/>
      <c r="D1087" s="7"/>
      <c r="E1087" s="7"/>
      <c r="F1087" s="24" t="s">
        <v>172</v>
      </c>
      <c r="G1087" s="7">
        <v>610</v>
      </c>
      <c r="H1087" s="7" t="s">
        <v>143</v>
      </c>
      <c r="I1087" s="22">
        <v>14524</v>
      </c>
      <c r="J1087" s="22">
        <v>14524</v>
      </c>
      <c r="K1087" s="218">
        <f t="shared" si="95"/>
        <v>100</v>
      </c>
      <c r="L1087" s="278"/>
      <c r="M1087" s="284"/>
      <c r="N1087" s="22"/>
      <c r="O1087" s="218"/>
      <c r="P1087" s="278"/>
      <c r="Q1087" s="284">
        <f t="shared" si="93"/>
        <v>14524</v>
      </c>
      <c r="R1087" s="22">
        <f t="shared" si="93"/>
        <v>14524</v>
      </c>
      <c r="S1087" s="219">
        <f t="shared" si="96"/>
        <v>100</v>
      </c>
    </row>
    <row r="1088" spans="2:19" x14ac:dyDescent="0.2">
      <c r="B1088" s="78">
        <f t="shared" si="92"/>
        <v>515</v>
      </c>
      <c r="C1088" s="7"/>
      <c r="D1088" s="7"/>
      <c r="E1088" s="7"/>
      <c r="F1088" s="24" t="s">
        <v>172</v>
      </c>
      <c r="G1088" s="7">
        <v>620</v>
      </c>
      <c r="H1088" s="7" t="s">
        <v>136</v>
      </c>
      <c r="I1088" s="22">
        <v>5672</v>
      </c>
      <c r="J1088" s="22">
        <v>5672</v>
      </c>
      <c r="K1088" s="218">
        <f t="shared" si="95"/>
        <v>100</v>
      </c>
      <c r="L1088" s="278"/>
      <c r="M1088" s="284"/>
      <c r="N1088" s="22"/>
      <c r="O1088" s="218"/>
      <c r="P1088" s="278"/>
      <c r="Q1088" s="284">
        <f t="shared" si="93"/>
        <v>5672</v>
      </c>
      <c r="R1088" s="22">
        <f t="shared" si="93"/>
        <v>5672</v>
      </c>
      <c r="S1088" s="219">
        <f t="shared" si="96"/>
        <v>100</v>
      </c>
    </row>
    <row r="1089" spans="2:19" x14ac:dyDescent="0.2">
      <c r="B1089" s="78">
        <f t="shared" ref="B1089:B1152" si="97">B1088+1</f>
        <v>516</v>
      </c>
      <c r="C1089" s="7"/>
      <c r="D1089" s="7"/>
      <c r="E1089" s="7"/>
      <c r="F1089" s="24" t="s">
        <v>172</v>
      </c>
      <c r="G1089" s="7">
        <v>630</v>
      </c>
      <c r="H1089" s="7" t="s">
        <v>133</v>
      </c>
      <c r="I1089" s="22">
        <f>SUM(I1090:I1092)</f>
        <v>17890</v>
      </c>
      <c r="J1089" s="22">
        <f>SUM(J1090:J1092)</f>
        <v>19151</v>
      </c>
      <c r="K1089" s="218">
        <f t="shared" si="95"/>
        <v>107.04863051984348</v>
      </c>
      <c r="L1089" s="278"/>
      <c r="M1089" s="284"/>
      <c r="N1089" s="22"/>
      <c r="O1089" s="218"/>
      <c r="P1089" s="278"/>
      <c r="Q1089" s="284">
        <f t="shared" si="93"/>
        <v>17890</v>
      </c>
      <c r="R1089" s="22">
        <f t="shared" si="93"/>
        <v>19151</v>
      </c>
      <c r="S1089" s="219">
        <f t="shared" si="96"/>
        <v>107.04863051984348</v>
      </c>
    </row>
    <row r="1090" spans="2:19" x14ac:dyDescent="0.2">
      <c r="B1090" s="78">
        <f t="shared" si="97"/>
        <v>517</v>
      </c>
      <c r="C1090" s="3"/>
      <c r="D1090" s="3"/>
      <c r="E1090" s="3"/>
      <c r="F1090" s="25" t="s">
        <v>172</v>
      </c>
      <c r="G1090" s="3">
        <v>633</v>
      </c>
      <c r="H1090" s="3" t="s">
        <v>137</v>
      </c>
      <c r="I1090" s="18">
        <f>17050-823</f>
        <v>16227</v>
      </c>
      <c r="J1090" s="18">
        <v>17488</v>
      </c>
      <c r="K1090" s="218">
        <f t="shared" si="95"/>
        <v>107.77099895236336</v>
      </c>
      <c r="L1090" s="279"/>
      <c r="M1090" s="285"/>
      <c r="N1090" s="18"/>
      <c r="O1090" s="218"/>
      <c r="P1090" s="279"/>
      <c r="Q1090" s="285">
        <f t="shared" ref="Q1090:R1156" si="98">I1090+M1090</f>
        <v>16227</v>
      </c>
      <c r="R1090" s="18">
        <f t="shared" si="98"/>
        <v>17488</v>
      </c>
      <c r="S1090" s="219">
        <f t="shared" si="96"/>
        <v>107.77099895236336</v>
      </c>
    </row>
    <row r="1091" spans="2:19" x14ac:dyDescent="0.2">
      <c r="B1091" s="78">
        <f t="shared" si="97"/>
        <v>518</v>
      </c>
      <c r="C1091" s="3"/>
      <c r="D1091" s="3"/>
      <c r="E1091" s="3"/>
      <c r="F1091" s="25" t="s">
        <v>172</v>
      </c>
      <c r="G1091" s="3">
        <v>635</v>
      </c>
      <c r="H1091" s="3" t="s">
        <v>145</v>
      </c>
      <c r="I1091" s="18">
        <f>200+823</f>
        <v>1023</v>
      </c>
      <c r="J1091" s="18">
        <v>1023</v>
      </c>
      <c r="K1091" s="218">
        <f t="shared" si="95"/>
        <v>100</v>
      </c>
      <c r="L1091" s="279"/>
      <c r="M1091" s="285"/>
      <c r="N1091" s="18"/>
      <c r="O1091" s="218"/>
      <c r="P1091" s="279"/>
      <c r="Q1091" s="285">
        <f t="shared" si="98"/>
        <v>1023</v>
      </c>
      <c r="R1091" s="18">
        <f t="shared" si="98"/>
        <v>1023</v>
      </c>
      <c r="S1091" s="219">
        <f t="shared" si="96"/>
        <v>100</v>
      </c>
    </row>
    <row r="1092" spans="2:19" x14ac:dyDescent="0.2">
      <c r="B1092" s="78">
        <f t="shared" si="97"/>
        <v>519</v>
      </c>
      <c r="C1092" s="3"/>
      <c r="D1092" s="3"/>
      <c r="E1092" s="3"/>
      <c r="F1092" s="25" t="s">
        <v>172</v>
      </c>
      <c r="G1092" s="3">
        <v>637</v>
      </c>
      <c r="H1092" s="3" t="s">
        <v>134</v>
      </c>
      <c r="I1092" s="18">
        <v>640</v>
      </c>
      <c r="J1092" s="18">
        <v>640</v>
      </c>
      <c r="K1092" s="218">
        <f t="shared" si="95"/>
        <v>100</v>
      </c>
      <c r="L1092" s="279"/>
      <c r="M1092" s="285"/>
      <c r="N1092" s="18"/>
      <c r="O1092" s="218"/>
      <c r="P1092" s="279"/>
      <c r="Q1092" s="285">
        <f t="shared" si="98"/>
        <v>640</v>
      </c>
      <c r="R1092" s="18">
        <f t="shared" si="98"/>
        <v>640</v>
      </c>
      <c r="S1092" s="219">
        <f t="shared" si="96"/>
        <v>100</v>
      </c>
    </row>
    <row r="1093" spans="2:19" x14ac:dyDescent="0.2">
      <c r="B1093" s="78">
        <f t="shared" si="97"/>
        <v>520</v>
      </c>
      <c r="C1093" s="7"/>
      <c r="D1093" s="7"/>
      <c r="E1093" s="7"/>
      <c r="F1093" s="24" t="s">
        <v>172</v>
      </c>
      <c r="G1093" s="7">
        <v>640</v>
      </c>
      <c r="H1093" s="7" t="s">
        <v>141</v>
      </c>
      <c r="I1093" s="22">
        <v>1024</v>
      </c>
      <c r="J1093" s="22">
        <v>1024</v>
      </c>
      <c r="K1093" s="218">
        <f t="shared" si="95"/>
        <v>100</v>
      </c>
      <c r="L1093" s="278"/>
      <c r="M1093" s="284"/>
      <c r="N1093" s="22"/>
      <c r="O1093" s="218"/>
      <c r="P1093" s="278"/>
      <c r="Q1093" s="284">
        <f t="shared" si="98"/>
        <v>1024</v>
      </c>
      <c r="R1093" s="22">
        <f t="shared" si="98"/>
        <v>1024</v>
      </c>
      <c r="S1093" s="219">
        <f t="shared" si="96"/>
        <v>100</v>
      </c>
    </row>
    <row r="1094" spans="2:19" x14ac:dyDescent="0.2">
      <c r="B1094" s="78">
        <f t="shared" si="97"/>
        <v>521</v>
      </c>
      <c r="C1094" s="6"/>
      <c r="D1094" s="6"/>
      <c r="E1094" s="6" t="s">
        <v>100</v>
      </c>
      <c r="F1094" s="28"/>
      <c r="G1094" s="6"/>
      <c r="H1094" s="6" t="s">
        <v>240</v>
      </c>
      <c r="I1094" s="39">
        <f>I1095+I1096+I1097+I1101</f>
        <v>64421</v>
      </c>
      <c r="J1094" s="39">
        <f>J1095+J1096+J1097+J1101</f>
        <v>66694</v>
      </c>
      <c r="K1094" s="218">
        <f t="shared" si="95"/>
        <v>103.52835255584358</v>
      </c>
      <c r="L1094" s="278"/>
      <c r="M1094" s="343">
        <v>0</v>
      </c>
      <c r="N1094" s="39">
        <v>0</v>
      </c>
      <c r="O1094" s="218"/>
      <c r="P1094" s="278"/>
      <c r="Q1094" s="343">
        <f t="shared" si="98"/>
        <v>64421</v>
      </c>
      <c r="R1094" s="39">
        <f t="shared" si="98"/>
        <v>66694</v>
      </c>
      <c r="S1094" s="219">
        <f t="shared" si="96"/>
        <v>103.52835255584358</v>
      </c>
    </row>
    <row r="1095" spans="2:19" x14ac:dyDescent="0.2">
      <c r="B1095" s="78">
        <f t="shared" si="97"/>
        <v>522</v>
      </c>
      <c r="C1095" s="7"/>
      <c r="D1095" s="7"/>
      <c r="E1095" s="7"/>
      <c r="F1095" s="24" t="s">
        <v>172</v>
      </c>
      <c r="G1095" s="7">
        <v>610</v>
      </c>
      <c r="H1095" s="7" t="s">
        <v>143</v>
      </c>
      <c r="I1095" s="22">
        <v>26688</v>
      </c>
      <c r="J1095" s="22">
        <v>26688</v>
      </c>
      <c r="K1095" s="218">
        <f t="shared" si="95"/>
        <v>100</v>
      </c>
      <c r="L1095" s="278"/>
      <c r="M1095" s="284"/>
      <c r="N1095" s="22"/>
      <c r="O1095" s="218"/>
      <c r="P1095" s="278"/>
      <c r="Q1095" s="284">
        <f t="shared" si="98"/>
        <v>26688</v>
      </c>
      <c r="R1095" s="22">
        <f t="shared" si="98"/>
        <v>26688</v>
      </c>
      <c r="S1095" s="219">
        <f t="shared" si="96"/>
        <v>100</v>
      </c>
    </row>
    <row r="1096" spans="2:19" x14ac:dyDescent="0.2">
      <c r="B1096" s="78">
        <f t="shared" si="97"/>
        <v>523</v>
      </c>
      <c r="C1096" s="7"/>
      <c r="D1096" s="7"/>
      <c r="E1096" s="7"/>
      <c r="F1096" s="24" t="s">
        <v>172</v>
      </c>
      <c r="G1096" s="7">
        <v>620</v>
      </c>
      <c r="H1096" s="7" t="s">
        <v>136</v>
      </c>
      <c r="I1096" s="22">
        <v>9789</v>
      </c>
      <c r="J1096" s="22">
        <v>9789</v>
      </c>
      <c r="K1096" s="218">
        <f t="shared" si="95"/>
        <v>100</v>
      </c>
      <c r="L1096" s="278"/>
      <c r="M1096" s="284"/>
      <c r="N1096" s="22"/>
      <c r="O1096" s="218"/>
      <c r="P1096" s="278"/>
      <c r="Q1096" s="284">
        <f t="shared" si="98"/>
        <v>9789</v>
      </c>
      <c r="R1096" s="22">
        <f t="shared" si="98"/>
        <v>9789</v>
      </c>
      <c r="S1096" s="219">
        <f t="shared" si="96"/>
        <v>100</v>
      </c>
    </row>
    <row r="1097" spans="2:19" x14ac:dyDescent="0.2">
      <c r="B1097" s="78">
        <f t="shared" si="97"/>
        <v>524</v>
      </c>
      <c r="C1097" s="7"/>
      <c r="D1097" s="7"/>
      <c r="E1097" s="7"/>
      <c r="F1097" s="24" t="s">
        <v>172</v>
      </c>
      <c r="G1097" s="7">
        <v>630</v>
      </c>
      <c r="H1097" s="7" t="s">
        <v>133</v>
      </c>
      <c r="I1097" s="22">
        <f>SUM(I1098:I1100)</f>
        <v>27860</v>
      </c>
      <c r="J1097" s="22">
        <f>SUM(J1098:J1100)</f>
        <v>30133</v>
      </c>
      <c r="K1097" s="218">
        <f t="shared" si="95"/>
        <v>108.1586503948313</v>
      </c>
      <c r="L1097" s="278"/>
      <c r="M1097" s="284"/>
      <c r="N1097" s="22"/>
      <c r="O1097" s="218"/>
      <c r="P1097" s="278"/>
      <c r="Q1097" s="284">
        <f t="shared" si="98"/>
        <v>27860</v>
      </c>
      <c r="R1097" s="22">
        <f t="shared" si="98"/>
        <v>30133</v>
      </c>
      <c r="S1097" s="219">
        <f t="shared" si="96"/>
        <v>108.1586503948313</v>
      </c>
    </row>
    <row r="1098" spans="2:19" x14ac:dyDescent="0.2">
      <c r="B1098" s="78">
        <f t="shared" si="97"/>
        <v>525</v>
      </c>
      <c r="C1098" s="3"/>
      <c r="D1098" s="3"/>
      <c r="E1098" s="3"/>
      <c r="F1098" s="25" t="s">
        <v>172</v>
      </c>
      <c r="G1098" s="3">
        <v>633</v>
      </c>
      <c r="H1098" s="3" t="s">
        <v>137</v>
      </c>
      <c r="I1098" s="18">
        <f>25550+1226</f>
        <v>26776</v>
      </c>
      <c r="J1098" s="18">
        <v>29049</v>
      </c>
      <c r="K1098" s="218">
        <f t="shared" si="95"/>
        <v>108.4889453241709</v>
      </c>
      <c r="L1098" s="279"/>
      <c r="M1098" s="285"/>
      <c r="N1098" s="18"/>
      <c r="O1098" s="218"/>
      <c r="P1098" s="279"/>
      <c r="Q1098" s="285">
        <f t="shared" si="98"/>
        <v>26776</v>
      </c>
      <c r="R1098" s="18">
        <f t="shared" si="98"/>
        <v>29049</v>
      </c>
      <c r="S1098" s="219">
        <f t="shared" si="96"/>
        <v>108.4889453241709</v>
      </c>
    </row>
    <row r="1099" spans="2:19" x14ac:dyDescent="0.2">
      <c r="B1099" s="78">
        <f t="shared" si="97"/>
        <v>526</v>
      </c>
      <c r="C1099" s="3"/>
      <c r="D1099" s="3"/>
      <c r="E1099" s="3"/>
      <c r="F1099" s="25" t="s">
        <v>172</v>
      </c>
      <c r="G1099" s="3">
        <v>635</v>
      </c>
      <c r="H1099" s="3" t="s">
        <v>145</v>
      </c>
      <c r="I1099" s="18">
        <f>1550-1226</f>
        <v>324</v>
      </c>
      <c r="J1099" s="18">
        <v>324</v>
      </c>
      <c r="K1099" s="218">
        <f t="shared" si="95"/>
        <v>100</v>
      </c>
      <c r="L1099" s="279"/>
      <c r="M1099" s="285"/>
      <c r="N1099" s="18"/>
      <c r="O1099" s="218"/>
      <c r="P1099" s="279"/>
      <c r="Q1099" s="285">
        <f t="shared" si="98"/>
        <v>324</v>
      </c>
      <c r="R1099" s="18">
        <f t="shared" si="98"/>
        <v>324</v>
      </c>
      <c r="S1099" s="219">
        <f t="shared" si="96"/>
        <v>100</v>
      </c>
    </row>
    <row r="1100" spans="2:19" x14ac:dyDescent="0.2">
      <c r="B1100" s="78">
        <f t="shared" si="97"/>
        <v>527</v>
      </c>
      <c r="C1100" s="3"/>
      <c r="D1100" s="3"/>
      <c r="E1100" s="3"/>
      <c r="F1100" s="25" t="s">
        <v>172</v>
      </c>
      <c r="G1100" s="3">
        <v>637</v>
      </c>
      <c r="H1100" s="3" t="s">
        <v>134</v>
      </c>
      <c r="I1100" s="18">
        <v>760</v>
      </c>
      <c r="J1100" s="18">
        <v>760</v>
      </c>
      <c r="K1100" s="218">
        <f t="shared" si="95"/>
        <v>100</v>
      </c>
      <c r="L1100" s="279"/>
      <c r="M1100" s="285"/>
      <c r="N1100" s="18"/>
      <c r="O1100" s="218"/>
      <c r="P1100" s="279"/>
      <c r="Q1100" s="285">
        <f t="shared" si="98"/>
        <v>760</v>
      </c>
      <c r="R1100" s="18">
        <f t="shared" si="98"/>
        <v>760</v>
      </c>
      <c r="S1100" s="219">
        <f t="shared" si="96"/>
        <v>100</v>
      </c>
    </row>
    <row r="1101" spans="2:19" x14ac:dyDescent="0.2">
      <c r="B1101" s="78">
        <f t="shared" si="97"/>
        <v>528</v>
      </c>
      <c r="C1101" s="3"/>
      <c r="D1101" s="3"/>
      <c r="E1101" s="3"/>
      <c r="F1101" s="24" t="s">
        <v>172</v>
      </c>
      <c r="G1101" s="7">
        <v>640</v>
      </c>
      <c r="H1101" s="7" t="s">
        <v>141</v>
      </c>
      <c r="I1101" s="22">
        <v>84</v>
      </c>
      <c r="J1101" s="22">
        <v>84</v>
      </c>
      <c r="K1101" s="218">
        <f t="shared" si="95"/>
        <v>100</v>
      </c>
      <c r="L1101" s="278"/>
      <c r="M1101" s="284"/>
      <c r="N1101" s="22"/>
      <c r="O1101" s="218"/>
      <c r="P1101" s="278"/>
      <c r="Q1101" s="284">
        <f t="shared" si="98"/>
        <v>84</v>
      </c>
      <c r="R1101" s="22">
        <f t="shared" si="98"/>
        <v>84</v>
      </c>
      <c r="S1101" s="219">
        <f t="shared" si="96"/>
        <v>100</v>
      </c>
    </row>
    <row r="1102" spans="2:19" x14ac:dyDescent="0.2">
      <c r="B1102" s="78">
        <f t="shared" si="97"/>
        <v>529</v>
      </c>
      <c r="C1102" s="6"/>
      <c r="D1102" s="6"/>
      <c r="E1102" s="6" t="s">
        <v>93</v>
      </c>
      <c r="F1102" s="28"/>
      <c r="G1102" s="6"/>
      <c r="H1102" s="6" t="s">
        <v>71</v>
      </c>
      <c r="I1102" s="39">
        <f>I1103+I1104+I1105</f>
        <v>37165</v>
      </c>
      <c r="J1102" s="39">
        <f>J1103+J1104+J1105</f>
        <v>39958</v>
      </c>
      <c r="K1102" s="218">
        <f t="shared" si="95"/>
        <v>107.51513520785684</v>
      </c>
      <c r="L1102" s="278"/>
      <c r="M1102" s="343">
        <v>0</v>
      </c>
      <c r="N1102" s="39">
        <v>0</v>
      </c>
      <c r="O1102" s="218"/>
      <c r="P1102" s="278"/>
      <c r="Q1102" s="343">
        <f t="shared" si="98"/>
        <v>37165</v>
      </c>
      <c r="R1102" s="39">
        <f t="shared" si="98"/>
        <v>39958</v>
      </c>
      <c r="S1102" s="219">
        <f t="shared" si="96"/>
        <v>107.51513520785684</v>
      </c>
    </row>
    <row r="1103" spans="2:19" x14ac:dyDescent="0.2">
      <c r="B1103" s="78">
        <f t="shared" si="97"/>
        <v>530</v>
      </c>
      <c r="C1103" s="7"/>
      <c r="D1103" s="7"/>
      <c r="E1103" s="7"/>
      <c r="F1103" s="24" t="s">
        <v>172</v>
      </c>
      <c r="G1103" s="7">
        <v>610</v>
      </c>
      <c r="H1103" s="7" t="s">
        <v>143</v>
      </c>
      <c r="I1103" s="22">
        <v>15011</v>
      </c>
      <c r="J1103" s="22">
        <v>15010</v>
      </c>
      <c r="K1103" s="218">
        <f t="shared" si="95"/>
        <v>99.993338218639664</v>
      </c>
      <c r="L1103" s="278"/>
      <c r="M1103" s="284"/>
      <c r="N1103" s="22"/>
      <c r="O1103" s="218"/>
      <c r="P1103" s="278"/>
      <c r="Q1103" s="284">
        <f t="shared" si="98"/>
        <v>15011</v>
      </c>
      <c r="R1103" s="22">
        <f t="shared" si="98"/>
        <v>15010</v>
      </c>
      <c r="S1103" s="219">
        <f t="shared" si="96"/>
        <v>99.993338218639664</v>
      </c>
    </row>
    <row r="1104" spans="2:19" x14ac:dyDescent="0.2">
      <c r="B1104" s="78">
        <f t="shared" si="97"/>
        <v>531</v>
      </c>
      <c r="C1104" s="7"/>
      <c r="D1104" s="7"/>
      <c r="E1104" s="7"/>
      <c r="F1104" s="24" t="s">
        <v>172</v>
      </c>
      <c r="G1104" s="7">
        <v>620</v>
      </c>
      <c r="H1104" s="7" t="s">
        <v>136</v>
      </c>
      <c r="I1104" s="22">
        <v>5474</v>
      </c>
      <c r="J1104" s="22">
        <v>5473</v>
      </c>
      <c r="K1104" s="218">
        <f t="shared" si="95"/>
        <v>99.98173182316404</v>
      </c>
      <c r="L1104" s="278"/>
      <c r="M1104" s="284"/>
      <c r="N1104" s="22"/>
      <c r="O1104" s="218"/>
      <c r="P1104" s="278"/>
      <c r="Q1104" s="284">
        <f t="shared" si="98"/>
        <v>5474</v>
      </c>
      <c r="R1104" s="22">
        <f t="shared" si="98"/>
        <v>5473</v>
      </c>
      <c r="S1104" s="219">
        <f t="shared" si="96"/>
        <v>99.98173182316404</v>
      </c>
    </row>
    <row r="1105" spans="2:19" x14ac:dyDescent="0.2">
      <c r="B1105" s="78">
        <f t="shared" si="97"/>
        <v>532</v>
      </c>
      <c r="C1105" s="7"/>
      <c r="D1105" s="7"/>
      <c r="E1105" s="7"/>
      <c r="F1105" s="24" t="s">
        <v>172</v>
      </c>
      <c r="G1105" s="7">
        <v>630</v>
      </c>
      <c r="H1105" s="7" t="s">
        <v>133</v>
      </c>
      <c r="I1105" s="22">
        <f>SUM(I1106:I1108)</f>
        <v>16680</v>
      </c>
      <c r="J1105" s="22">
        <f>SUM(J1106:J1108)</f>
        <v>19475</v>
      </c>
      <c r="K1105" s="218">
        <f t="shared" si="95"/>
        <v>116.75659472422062</v>
      </c>
      <c r="L1105" s="278"/>
      <c r="M1105" s="284"/>
      <c r="N1105" s="22"/>
      <c r="O1105" s="218"/>
      <c r="P1105" s="278"/>
      <c r="Q1105" s="284">
        <f t="shared" si="98"/>
        <v>16680</v>
      </c>
      <c r="R1105" s="22">
        <f t="shared" si="98"/>
        <v>19475</v>
      </c>
      <c r="S1105" s="219">
        <f t="shared" si="96"/>
        <v>116.75659472422062</v>
      </c>
    </row>
    <row r="1106" spans="2:19" x14ac:dyDescent="0.2">
      <c r="B1106" s="78">
        <f t="shared" si="97"/>
        <v>533</v>
      </c>
      <c r="C1106" s="3"/>
      <c r="D1106" s="3"/>
      <c r="E1106" s="3"/>
      <c r="F1106" s="25" t="s">
        <v>172</v>
      </c>
      <c r="G1106" s="3">
        <v>633</v>
      </c>
      <c r="H1106" s="3" t="s">
        <v>137</v>
      </c>
      <c r="I1106" s="18">
        <f>14910+1082</f>
        <v>15992</v>
      </c>
      <c r="J1106" s="18">
        <v>18787</v>
      </c>
      <c r="K1106" s="218">
        <f t="shared" si="95"/>
        <v>117.47748874437218</v>
      </c>
      <c r="L1106" s="279"/>
      <c r="M1106" s="285"/>
      <c r="N1106" s="18"/>
      <c r="O1106" s="218"/>
      <c r="P1106" s="279"/>
      <c r="Q1106" s="285">
        <f t="shared" si="98"/>
        <v>15992</v>
      </c>
      <c r="R1106" s="18">
        <f t="shared" si="98"/>
        <v>18787</v>
      </c>
      <c r="S1106" s="219">
        <f t="shared" si="96"/>
        <v>117.47748874437218</v>
      </c>
    </row>
    <row r="1107" spans="2:19" x14ac:dyDescent="0.2">
      <c r="B1107" s="78">
        <f t="shared" si="97"/>
        <v>534</v>
      </c>
      <c r="C1107" s="3"/>
      <c r="D1107" s="3"/>
      <c r="E1107" s="3"/>
      <c r="F1107" s="25" t="s">
        <v>172</v>
      </c>
      <c r="G1107" s="3">
        <v>635</v>
      </c>
      <c r="H1107" s="3" t="s">
        <v>145</v>
      </c>
      <c r="I1107" s="18">
        <f>1100-1082</f>
        <v>18</v>
      </c>
      <c r="J1107" s="18">
        <v>18</v>
      </c>
      <c r="K1107" s="218">
        <f t="shared" si="95"/>
        <v>100</v>
      </c>
      <c r="L1107" s="279"/>
      <c r="M1107" s="285"/>
      <c r="N1107" s="18"/>
      <c r="O1107" s="218"/>
      <c r="P1107" s="279"/>
      <c r="Q1107" s="285">
        <f t="shared" si="98"/>
        <v>18</v>
      </c>
      <c r="R1107" s="18">
        <f t="shared" si="98"/>
        <v>18</v>
      </c>
      <c r="S1107" s="219">
        <f t="shared" si="96"/>
        <v>100</v>
      </c>
    </row>
    <row r="1108" spans="2:19" x14ac:dyDescent="0.2">
      <c r="B1108" s="78">
        <f t="shared" si="97"/>
        <v>535</v>
      </c>
      <c r="C1108" s="3"/>
      <c r="D1108" s="3"/>
      <c r="E1108" s="3"/>
      <c r="F1108" s="25" t="s">
        <v>172</v>
      </c>
      <c r="G1108" s="3">
        <v>637</v>
      </c>
      <c r="H1108" s="3" t="s">
        <v>134</v>
      </c>
      <c r="I1108" s="18">
        <v>670</v>
      </c>
      <c r="J1108" s="18">
        <v>670</v>
      </c>
      <c r="K1108" s="218">
        <f t="shared" si="95"/>
        <v>100</v>
      </c>
      <c r="L1108" s="279"/>
      <c r="M1108" s="285"/>
      <c r="N1108" s="18"/>
      <c r="O1108" s="218"/>
      <c r="P1108" s="279"/>
      <c r="Q1108" s="285">
        <f t="shared" si="98"/>
        <v>670</v>
      </c>
      <c r="R1108" s="18">
        <f t="shared" si="98"/>
        <v>670</v>
      </c>
      <c r="S1108" s="219">
        <f t="shared" si="96"/>
        <v>100</v>
      </c>
    </row>
    <row r="1109" spans="2:19" x14ac:dyDescent="0.2">
      <c r="B1109" s="78">
        <f t="shared" si="97"/>
        <v>536</v>
      </c>
      <c r="C1109" s="6"/>
      <c r="D1109" s="6"/>
      <c r="E1109" s="6" t="s">
        <v>104</v>
      </c>
      <c r="F1109" s="28"/>
      <c r="G1109" s="6"/>
      <c r="H1109" s="6" t="s">
        <v>105</v>
      </c>
      <c r="I1109" s="39">
        <f>I1110+I1111+I1112+I1116</f>
        <v>50395</v>
      </c>
      <c r="J1109" s="39">
        <f>J1110+J1111+J1112+J1116</f>
        <v>52089</v>
      </c>
      <c r="K1109" s="218">
        <f t="shared" si="95"/>
        <v>103.36144458775671</v>
      </c>
      <c r="L1109" s="278"/>
      <c r="M1109" s="343">
        <v>0</v>
      </c>
      <c r="N1109" s="39">
        <v>0</v>
      </c>
      <c r="O1109" s="218"/>
      <c r="P1109" s="278"/>
      <c r="Q1109" s="343">
        <f t="shared" si="98"/>
        <v>50395</v>
      </c>
      <c r="R1109" s="39">
        <f t="shared" si="98"/>
        <v>52089</v>
      </c>
      <c r="S1109" s="219">
        <f t="shared" si="96"/>
        <v>103.36144458775671</v>
      </c>
    </row>
    <row r="1110" spans="2:19" x14ac:dyDescent="0.2">
      <c r="B1110" s="78">
        <f t="shared" si="97"/>
        <v>537</v>
      </c>
      <c r="C1110" s="7"/>
      <c r="D1110" s="7"/>
      <c r="E1110" s="7"/>
      <c r="F1110" s="24" t="s">
        <v>172</v>
      </c>
      <c r="G1110" s="7">
        <v>610</v>
      </c>
      <c r="H1110" s="7" t="s">
        <v>143</v>
      </c>
      <c r="I1110" s="22">
        <v>19691</v>
      </c>
      <c r="J1110" s="22">
        <v>19691</v>
      </c>
      <c r="K1110" s="218">
        <f t="shared" si="95"/>
        <v>100</v>
      </c>
      <c r="L1110" s="278"/>
      <c r="M1110" s="284"/>
      <c r="N1110" s="22"/>
      <c r="O1110" s="218"/>
      <c r="P1110" s="278"/>
      <c r="Q1110" s="284">
        <f t="shared" si="98"/>
        <v>19691</v>
      </c>
      <c r="R1110" s="22">
        <f t="shared" si="98"/>
        <v>19691</v>
      </c>
      <c r="S1110" s="219">
        <f t="shared" si="96"/>
        <v>100</v>
      </c>
    </row>
    <row r="1111" spans="2:19" x14ac:dyDescent="0.2">
      <c r="B1111" s="78">
        <f t="shared" si="97"/>
        <v>538</v>
      </c>
      <c r="C1111" s="7"/>
      <c r="D1111" s="7"/>
      <c r="E1111" s="7"/>
      <c r="F1111" s="24" t="s">
        <v>172</v>
      </c>
      <c r="G1111" s="7">
        <v>620</v>
      </c>
      <c r="H1111" s="7" t="s">
        <v>136</v>
      </c>
      <c r="I1111" s="22">
        <v>7204</v>
      </c>
      <c r="J1111" s="22">
        <v>7202</v>
      </c>
      <c r="K1111" s="218">
        <f t="shared" si="95"/>
        <v>99.972237645752358</v>
      </c>
      <c r="L1111" s="278"/>
      <c r="M1111" s="284"/>
      <c r="N1111" s="22"/>
      <c r="O1111" s="218"/>
      <c r="P1111" s="278"/>
      <c r="Q1111" s="284">
        <f t="shared" si="98"/>
        <v>7204</v>
      </c>
      <c r="R1111" s="22">
        <f t="shared" si="98"/>
        <v>7202</v>
      </c>
      <c r="S1111" s="219">
        <f t="shared" si="96"/>
        <v>99.972237645752358</v>
      </c>
    </row>
    <row r="1112" spans="2:19" x14ac:dyDescent="0.2">
      <c r="B1112" s="78">
        <f t="shared" si="97"/>
        <v>539</v>
      </c>
      <c r="C1112" s="7"/>
      <c r="D1112" s="7"/>
      <c r="E1112" s="7"/>
      <c r="F1112" s="24" t="s">
        <v>172</v>
      </c>
      <c r="G1112" s="7">
        <v>630</v>
      </c>
      <c r="H1112" s="7" t="s">
        <v>133</v>
      </c>
      <c r="I1112" s="22">
        <f>SUM(I1113:I1115)</f>
        <v>23410</v>
      </c>
      <c r="J1112" s="22">
        <f>SUM(J1113:J1115)</f>
        <v>25107</v>
      </c>
      <c r="K1112" s="218">
        <f t="shared" si="95"/>
        <v>107.24903887227681</v>
      </c>
      <c r="L1112" s="278"/>
      <c r="M1112" s="284"/>
      <c r="N1112" s="22"/>
      <c r="O1112" s="218"/>
      <c r="P1112" s="278"/>
      <c r="Q1112" s="284">
        <f t="shared" si="98"/>
        <v>23410</v>
      </c>
      <c r="R1112" s="22">
        <f t="shared" si="98"/>
        <v>25107</v>
      </c>
      <c r="S1112" s="219">
        <f t="shared" si="96"/>
        <v>107.24903887227681</v>
      </c>
    </row>
    <row r="1113" spans="2:19" x14ac:dyDescent="0.2">
      <c r="B1113" s="78">
        <f t="shared" si="97"/>
        <v>540</v>
      </c>
      <c r="C1113" s="3"/>
      <c r="D1113" s="3"/>
      <c r="E1113" s="3"/>
      <c r="F1113" s="25" t="s">
        <v>172</v>
      </c>
      <c r="G1113" s="3">
        <v>633</v>
      </c>
      <c r="H1113" s="3" t="s">
        <v>137</v>
      </c>
      <c r="I1113" s="18">
        <f>18275+1250</f>
        <v>19525</v>
      </c>
      <c r="J1113" s="18">
        <v>21222</v>
      </c>
      <c r="K1113" s="218">
        <f t="shared" si="95"/>
        <v>108.69142125480154</v>
      </c>
      <c r="L1113" s="279"/>
      <c r="M1113" s="285"/>
      <c r="N1113" s="18"/>
      <c r="O1113" s="218"/>
      <c r="P1113" s="279"/>
      <c r="Q1113" s="285">
        <f t="shared" si="98"/>
        <v>19525</v>
      </c>
      <c r="R1113" s="18">
        <f t="shared" si="98"/>
        <v>21222</v>
      </c>
      <c r="S1113" s="219">
        <f t="shared" si="96"/>
        <v>108.69142125480154</v>
      </c>
    </row>
    <row r="1114" spans="2:19" x14ac:dyDescent="0.2">
      <c r="B1114" s="78">
        <f t="shared" si="97"/>
        <v>541</v>
      </c>
      <c r="C1114" s="3"/>
      <c r="D1114" s="3"/>
      <c r="E1114" s="3"/>
      <c r="F1114" s="25" t="s">
        <v>172</v>
      </c>
      <c r="G1114" s="3">
        <v>635</v>
      </c>
      <c r="H1114" s="3" t="s">
        <v>145</v>
      </c>
      <c r="I1114" s="18">
        <f>4600-1250</f>
        <v>3350</v>
      </c>
      <c r="J1114" s="18">
        <v>3350</v>
      </c>
      <c r="K1114" s="218">
        <f t="shared" si="95"/>
        <v>100</v>
      </c>
      <c r="L1114" s="279"/>
      <c r="M1114" s="285"/>
      <c r="N1114" s="18"/>
      <c r="O1114" s="218"/>
      <c r="P1114" s="279"/>
      <c r="Q1114" s="285">
        <f t="shared" si="98"/>
        <v>3350</v>
      </c>
      <c r="R1114" s="18">
        <f t="shared" si="98"/>
        <v>3350</v>
      </c>
      <c r="S1114" s="219">
        <f t="shared" si="96"/>
        <v>100</v>
      </c>
    </row>
    <row r="1115" spans="2:19" x14ac:dyDescent="0.2">
      <c r="B1115" s="78">
        <f t="shared" si="97"/>
        <v>542</v>
      </c>
      <c r="C1115" s="3"/>
      <c r="D1115" s="3"/>
      <c r="E1115" s="3"/>
      <c r="F1115" s="25" t="s">
        <v>172</v>
      </c>
      <c r="G1115" s="3">
        <v>637</v>
      </c>
      <c r="H1115" s="3" t="s">
        <v>134</v>
      </c>
      <c r="I1115" s="18">
        <v>535</v>
      </c>
      <c r="J1115" s="18">
        <v>535</v>
      </c>
      <c r="K1115" s="218">
        <f t="shared" si="95"/>
        <v>100</v>
      </c>
      <c r="L1115" s="279"/>
      <c r="M1115" s="285"/>
      <c r="N1115" s="18"/>
      <c r="O1115" s="218"/>
      <c r="P1115" s="279"/>
      <c r="Q1115" s="285">
        <f t="shared" si="98"/>
        <v>535</v>
      </c>
      <c r="R1115" s="18">
        <f t="shared" si="98"/>
        <v>535</v>
      </c>
      <c r="S1115" s="219">
        <f t="shared" si="96"/>
        <v>100</v>
      </c>
    </row>
    <row r="1116" spans="2:19" x14ac:dyDescent="0.2">
      <c r="B1116" s="78">
        <f t="shared" si="97"/>
        <v>543</v>
      </c>
      <c r="C1116" s="3"/>
      <c r="D1116" s="3"/>
      <c r="E1116" s="3"/>
      <c r="F1116" s="24" t="s">
        <v>172</v>
      </c>
      <c r="G1116" s="7">
        <v>640</v>
      </c>
      <c r="H1116" s="7" t="s">
        <v>141</v>
      </c>
      <c r="I1116" s="22">
        <v>90</v>
      </c>
      <c r="J1116" s="22">
        <v>89</v>
      </c>
      <c r="K1116" s="218">
        <f t="shared" si="95"/>
        <v>98.888888888888886</v>
      </c>
      <c r="L1116" s="278"/>
      <c r="M1116" s="284"/>
      <c r="N1116" s="22"/>
      <c r="O1116" s="218"/>
      <c r="P1116" s="278"/>
      <c r="Q1116" s="284">
        <f t="shared" si="98"/>
        <v>90</v>
      </c>
      <c r="R1116" s="22">
        <f t="shared" si="98"/>
        <v>89</v>
      </c>
      <c r="S1116" s="219">
        <f t="shared" si="96"/>
        <v>98.888888888888886</v>
      </c>
    </row>
    <row r="1117" spans="2:19" x14ac:dyDescent="0.2">
      <c r="B1117" s="78">
        <f t="shared" si="97"/>
        <v>544</v>
      </c>
      <c r="C1117" s="6"/>
      <c r="D1117" s="6"/>
      <c r="E1117" s="6" t="s">
        <v>107</v>
      </c>
      <c r="F1117" s="28"/>
      <c r="G1117" s="6"/>
      <c r="H1117" s="6" t="s">
        <v>108</v>
      </c>
      <c r="I1117" s="39">
        <f>I1118+I1119+I1120+I1124</f>
        <v>49740</v>
      </c>
      <c r="J1117" s="39">
        <f>J1118+J1119+J1120+J1124</f>
        <v>50267</v>
      </c>
      <c r="K1117" s="218">
        <f t="shared" si="95"/>
        <v>101.0595094491355</v>
      </c>
      <c r="L1117" s="278"/>
      <c r="M1117" s="343">
        <v>0</v>
      </c>
      <c r="N1117" s="39">
        <v>0</v>
      </c>
      <c r="O1117" s="218"/>
      <c r="P1117" s="278"/>
      <c r="Q1117" s="343">
        <f t="shared" si="98"/>
        <v>49740</v>
      </c>
      <c r="R1117" s="39">
        <f t="shared" si="98"/>
        <v>50267</v>
      </c>
      <c r="S1117" s="219">
        <f t="shared" si="96"/>
        <v>101.0595094491355</v>
      </c>
    </row>
    <row r="1118" spans="2:19" x14ac:dyDescent="0.2">
      <c r="B1118" s="78">
        <f t="shared" si="97"/>
        <v>545</v>
      </c>
      <c r="C1118" s="7"/>
      <c r="D1118" s="7"/>
      <c r="E1118" s="7"/>
      <c r="F1118" s="24" t="s">
        <v>172</v>
      </c>
      <c r="G1118" s="7">
        <v>610</v>
      </c>
      <c r="H1118" s="7" t="s">
        <v>143</v>
      </c>
      <c r="I1118" s="22">
        <v>20739</v>
      </c>
      <c r="J1118" s="22">
        <v>20738</v>
      </c>
      <c r="K1118" s="218">
        <f t="shared" si="95"/>
        <v>99.995178166738995</v>
      </c>
      <c r="L1118" s="278"/>
      <c r="M1118" s="284"/>
      <c r="N1118" s="22"/>
      <c r="O1118" s="218"/>
      <c r="P1118" s="278"/>
      <c r="Q1118" s="284">
        <f t="shared" si="98"/>
        <v>20739</v>
      </c>
      <c r="R1118" s="22">
        <f t="shared" si="98"/>
        <v>20738</v>
      </c>
      <c r="S1118" s="219">
        <f t="shared" si="96"/>
        <v>99.995178166738995</v>
      </c>
    </row>
    <row r="1119" spans="2:19" x14ac:dyDescent="0.2">
      <c r="B1119" s="78">
        <f t="shared" si="97"/>
        <v>546</v>
      </c>
      <c r="C1119" s="7"/>
      <c r="D1119" s="7"/>
      <c r="E1119" s="7"/>
      <c r="F1119" s="24" t="s">
        <v>172</v>
      </c>
      <c r="G1119" s="7">
        <v>620</v>
      </c>
      <c r="H1119" s="7" t="s">
        <v>136</v>
      </c>
      <c r="I1119" s="22">
        <v>7591</v>
      </c>
      <c r="J1119" s="22">
        <v>7637</v>
      </c>
      <c r="K1119" s="218">
        <f t="shared" si="95"/>
        <v>100.6059807666974</v>
      </c>
      <c r="L1119" s="278"/>
      <c r="M1119" s="284"/>
      <c r="N1119" s="22"/>
      <c r="O1119" s="218"/>
      <c r="P1119" s="278"/>
      <c r="Q1119" s="284">
        <f t="shared" si="98"/>
        <v>7591</v>
      </c>
      <c r="R1119" s="22">
        <f t="shared" si="98"/>
        <v>7637</v>
      </c>
      <c r="S1119" s="219">
        <f t="shared" si="96"/>
        <v>100.6059807666974</v>
      </c>
    </row>
    <row r="1120" spans="2:19" x14ac:dyDescent="0.2">
      <c r="B1120" s="78">
        <f t="shared" si="97"/>
        <v>547</v>
      </c>
      <c r="C1120" s="7"/>
      <c r="D1120" s="7"/>
      <c r="E1120" s="7"/>
      <c r="F1120" s="24" t="s">
        <v>172</v>
      </c>
      <c r="G1120" s="7">
        <v>630</v>
      </c>
      <c r="H1120" s="7" t="s">
        <v>133</v>
      </c>
      <c r="I1120" s="22">
        <f>SUM(I1121:I1123)</f>
        <v>21330</v>
      </c>
      <c r="J1120" s="22">
        <f>SUM(J1121:J1123)</f>
        <v>21813</v>
      </c>
      <c r="K1120" s="218">
        <f t="shared" si="95"/>
        <v>102.26441631504923</v>
      </c>
      <c r="L1120" s="278"/>
      <c r="M1120" s="284"/>
      <c r="N1120" s="22"/>
      <c r="O1120" s="218"/>
      <c r="P1120" s="278"/>
      <c r="Q1120" s="284">
        <f t="shared" si="98"/>
        <v>21330</v>
      </c>
      <c r="R1120" s="22">
        <f t="shared" si="98"/>
        <v>21813</v>
      </c>
      <c r="S1120" s="219">
        <f t="shared" si="96"/>
        <v>102.26441631504923</v>
      </c>
    </row>
    <row r="1121" spans="2:19" x14ac:dyDescent="0.2">
      <c r="B1121" s="78">
        <f t="shared" si="97"/>
        <v>548</v>
      </c>
      <c r="C1121" s="3"/>
      <c r="D1121" s="3"/>
      <c r="E1121" s="3"/>
      <c r="F1121" s="25" t="s">
        <v>172</v>
      </c>
      <c r="G1121" s="3">
        <v>633</v>
      </c>
      <c r="H1121" s="3" t="s">
        <v>137</v>
      </c>
      <c r="I1121" s="18">
        <f>19180+1500</f>
        <v>20680</v>
      </c>
      <c r="J1121" s="18">
        <v>21163</v>
      </c>
      <c r="K1121" s="218">
        <f t="shared" si="95"/>
        <v>102.33558994197291</v>
      </c>
      <c r="L1121" s="279"/>
      <c r="M1121" s="285"/>
      <c r="N1121" s="18"/>
      <c r="O1121" s="218"/>
      <c r="P1121" s="279"/>
      <c r="Q1121" s="285">
        <f t="shared" si="98"/>
        <v>20680</v>
      </c>
      <c r="R1121" s="18">
        <f t="shared" si="98"/>
        <v>21163</v>
      </c>
      <c r="S1121" s="219">
        <f t="shared" si="96"/>
        <v>102.33558994197291</v>
      </c>
    </row>
    <row r="1122" spans="2:19" x14ac:dyDescent="0.2">
      <c r="B1122" s="78">
        <f t="shared" si="97"/>
        <v>549</v>
      </c>
      <c r="C1122" s="3"/>
      <c r="D1122" s="3"/>
      <c r="E1122" s="3"/>
      <c r="F1122" s="25" t="s">
        <v>172</v>
      </c>
      <c r="G1122" s="3">
        <v>635</v>
      </c>
      <c r="H1122" s="3" t="s">
        <v>145</v>
      </c>
      <c r="I1122" s="18">
        <f>1600-1500</f>
        <v>100</v>
      </c>
      <c r="J1122" s="18">
        <v>100</v>
      </c>
      <c r="K1122" s="218">
        <f t="shared" si="95"/>
        <v>100</v>
      </c>
      <c r="L1122" s="279"/>
      <c r="M1122" s="285"/>
      <c r="N1122" s="18"/>
      <c r="O1122" s="218"/>
      <c r="P1122" s="279"/>
      <c r="Q1122" s="285">
        <f t="shared" si="98"/>
        <v>100</v>
      </c>
      <c r="R1122" s="18">
        <f t="shared" si="98"/>
        <v>100</v>
      </c>
      <c r="S1122" s="219">
        <f t="shared" si="96"/>
        <v>100</v>
      </c>
    </row>
    <row r="1123" spans="2:19" x14ac:dyDescent="0.2">
      <c r="B1123" s="78">
        <f t="shared" si="97"/>
        <v>550</v>
      </c>
      <c r="C1123" s="3"/>
      <c r="D1123" s="3"/>
      <c r="E1123" s="3"/>
      <c r="F1123" s="25" t="s">
        <v>172</v>
      </c>
      <c r="G1123" s="3">
        <v>637</v>
      </c>
      <c r="H1123" s="3" t="s">
        <v>134</v>
      </c>
      <c r="I1123" s="18">
        <v>550</v>
      </c>
      <c r="J1123" s="18">
        <v>550</v>
      </c>
      <c r="K1123" s="218">
        <f t="shared" si="95"/>
        <v>100</v>
      </c>
      <c r="L1123" s="279"/>
      <c r="M1123" s="285"/>
      <c r="N1123" s="18"/>
      <c r="O1123" s="218"/>
      <c r="P1123" s="279"/>
      <c r="Q1123" s="285">
        <f t="shared" si="98"/>
        <v>550</v>
      </c>
      <c r="R1123" s="18">
        <f t="shared" si="98"/>
        <v>550</v>
      </c>
      <c r="S1123" s="219">
        <f t="shared" si="96"/>
        <v>100</v>
      </c>
    </row>
    <row r="1124" spans="2:19" x14ac:dyDescent="0.2">
      <c r="B1124" s="78">
        <f t="shared" si="97"/>
        <v>551</v>
      </c>
      <c r="C1124" s="3"/>
      <c r="D1124" s="3"/>
      <c r="E1124" s="3"/>
      <c r="F1124" s="24" t="s">
        <v>172</v>
      </c>
      <c r="G1124" s="7">
        <v>640</v>
      </c>
      <c r="H1124" s="7" t="s">
        <v>141</v>
      </c>
      <c r="I1124" s="22">
        <v>80</v>
      </c>
      <c r="J1124" s="22">
        <v>79</v>
      </c>
      <c r="K1124" s="218">
        <f t="shared" si="95"/>
        <v>98.75</v>
      </c>
      <c r="L1124" s="278"/>
      <c r="M1124" s="284"/>
      <c r="N1124" s="22"/>
      <c r="O1124" s="218"/>
      <c r="P1124" s="278"/>
      <c r="Q1124" s="284">
        <f t="shared" si="98"/>
        <v>80</v>
      </c>
      <c r="R1124" s="22">
        <f t="shared" si="98"/>
        <v>79</v>
      </c>
      <c r="S1124" s="219">
        <f t="shared" si="96"/>
        <v>98.75</v>
      </c>
    </row>
    <row r="1125" spans="2:19" x14ac:dyDescent="0.2">
      <c r="B1125" s="78">
        <f t="shared" si="97"/>
        <v>552</v>
      </c>
      <c r="C1125" s="6"/>
      <c r="D1125" s="6"/>
      <c r="E1125" s="6" t="s">
        <v>91</v>
      </c>
      <c r="F1125" s="28"/>
      <c r="G1125" s="6"/>
      <c r="H1125" s="6" t="s">
        <v>92</v>
      </c>
      <c r="I1125" s="39">
        <f>I1126+I1127+I1128+I1132</f>
        <v>76862</v>
      </c>
      <c r="J1125" s="39">
        <f>J1126+J1127+J1128+J1132</f>
        <v>76997</v>
      </c>
      <c r="K1125" s="218">
        <f t="shared" si="95"/>
        <v>100.17563945772943</v>
      </c>
      <c r="L1125" s="278"/>
      <c r="M1125" s="343">
        <v>0</v>
      </c>
      <c r="N1125" s="39">
        <v>0</v>
      </c>
      <c r="O1125" s="218"/>
      <c r="P1125" s="278"/>
      <c r="Q1125" s="343">
        <f t="shared" si="98"/>
        <v>76862</v>
      </c>
      <c r="R1125" s="39">
        <f t="shared" si="98"/>
        <v>76997</v>
      </c>
      <c r="S1125" s="219">
        <f t="shared" si="96"/>
        <v>100.17563945772943</v>
      </c>
    </row>
    <row r="1126" spans="2:19" x14ac:dyDescent="0.2">
      <c r="B1126" s="78">
        <f t="shared" si="97"/>
        <v>553</v>
      </c>
      <c r="C1126" s="7"/>
      <c r="D1126" s="7"/>
      <c r="E1126" s="7"/>
      <c r="F1126" s="24" t="s">
        <v>172</v>
      </c>
      <c r="G1126" s="7">
        <v>610</v>
      </c>
      <c r="H1126" s="7" t="s">
        <v>143</v>
      </c>
      <c r="I1126" s="22">
        <v>31163</v>
      </c>
      <c r="J1126" s="22">
        <v>31162</v>
      </c>
      <c r="K1126" s="218">
        <f t="shared" si="95"/>
        <v>99.996791066328655</v>
      </c>
      <c r="L1126" s="278"/>
      <c r="M1126" s="284"/>
      <c r="N1126" s="22"/>
      <c r="O1126" s="218"/>
      <c r="P1126" s="278"/>
      <c r="Q1126" s="284">
        <f t="shared" si="98"/>
        <v>31163</v>
      </c>
      <c r="R1126" s="22">
        <f t="shared" si="98"/>
        <v>31162</v>
      </c>
      <c r="S1126" s="219">
        <f t="shared" si="96"/>
        <v>99.996791066328655</v>
      </c>
    </row>
    <row r="1127" spans="2:19" x14ac:dyDescent="0.2">
      <c r="B1127" s="78">
        <f t="shared" si="97"/>
        <v>554</v>
      </c>
      <c r="C1127" s="7"/>
      <c r="D1127" s="7"/>
      <c r="E1127" s="7"/>
      <c r="F1127" s="24" t="s">
        <v>172</v>
      </c>
      <c r="G1127" s="7">
        <v>620</v>
      </c>
      <c r="H1127" s="7" t="s">
        <v>136</v>
      </c>
      <c r="I1127" s="22">
        <v>11624</v>
      </c>
      <c r="J1127" s="22">
        <v>11622</v>
      </c>
      <c r="K1127" s="218">
        <f t="shared" si="95"/>
        <v>99.982794218857535</v>
      </c>
      <c r="L1127" s="278"/>
      <c r="M1127" s="284"/>
      <c r="N1127" s="22"/>
      <c r="O1127" s="218"/>
      <c r="P1127" s="278"/>
      <c r="Q1127" s="284">
        <f t="shared" si="98"/>
        <v>11624</v>
      </c>
      <c r="R1127" s="22">
        <f t="shared" si="98"/>
        <v>11622</v>
      </c>
      <c r="S1127" s="219">
        <f t="shared" si="96"/>
        <v>99.982794218857535</v>
      </c>
    </row>
    <row r="1128" spans="2:19" x14ac:dyDescent="0.2">
      <c r="B1128" s="78">
        <f t="shared" si="97"/>
        <v>555</v>
      </c>
      <c r="C1128" s="7"/>
      <c r="D1128" s="7"/>
      <c r="E1128" s="7"/>
      <c r="F1128" s="24" t="s">
        <v>172</v>
      </c>
      <c r="G1128" s="7">
        <v>630</v>
      </c>
      <c r="H1128" s="7" t="s">
        <v>133</v>
      </c>
      <c r="I1128" s="22">
        <f>SUM(I1129:I1131)</f>
        <v>33583</v>
      </c>
      <c r="J1128" s="22">
        <f>SUM(J1129:J1131)</f>
        <v>33721</v>
      </c>
      <c r="K1128" s="218">
        <f t="shared" si="95"/>
        <v>100.4109221927761</v>
      </c>
      <c r="L1128" s="278"/>
      <c r="M1128" s="284"/>
      <c r="N1128" s="22"/>
      <c r="O1128" s="218"/>
      <c r="P1128" s="278"/>
      <c r="Q1128" s="284">
        <f t="shared" si="98"/>
        <v>33583</v>
      </c>
      <c r="R1128" s="22">
        <f t="shared" si="98"/>
        <v>33721</v>
      </c>
      <c r="S1128" s="219">
        <f t="shared" si="96"/>
        <v>100.4109221927761</v>
      </c>
    </row>
    <row r="1129" spans="2:19" x14ac:dyDescent="0.2">
      <c r="B1129" s="78">
        <f t="shared" si="97"/>
        <v>556</v>
      </c>
      <c r="C1129" s="3"/>
      <c r="D1129" s="3"/>
      <c r="E1129" s="3"/>
      <c r="F1129" s="25" t="s">
        <v>172</v>
      </c>
      <c r="G1129" s="3">
        <v>633</v>
      </c>
      <c r="H1129" s="3" t="s">
        <v>137</v>
      </c>
      <c r="I1129" s="18">
        <f>30940+627</f>
        <v>31567</v>
      </c>
      <c r="J1129" s="18">
        <v>31705</v>
      </c>
      <c r="K1129" s="218">
        <f t="shared" si="95"/>
        <v>100.43716539424081</v>
      </c>
      <c r="L1129" s="279"/>
      <c r="M1129" s="285"/>
      <c r="N1129" s="18"/>
      <c r="O1129" s="218"/>
      <c r="P1129" s="279"/>
      <c r="Q1129" s="285">
        <f t="shared" si="98"/>
        <v>31567</v>
      </c>
      <c r="R1129" s="18">
        <f t="shared" si="98"/>
        <v>31705</v>
      </c>
      <c r="S1129" s="219">
        <f t="shared" si="96"/>
        <v>100.43716539424081</v>
      </c>
    </row>
    <row r="1130" spans="2:19" x14ac:dyDescent="0.2">
      <c r="B1130" s="78">
        <f t="shared" si="97"/>
        <v>557</v>
      </c>
      <c r="C1130" s="3"/>
      <c r="D1130" s="3"/>
      <c r="E1130" s="3"/>
      <c r="F1130" s="25" t="s">
        <v>172</v>
      </c>
      <c r="G1130" s="3">
        <v>635</v>
      </c>
      <c r="H1130" s="3" t="s">
        <v>145</v>
      </c>
      <c r="I1130" s="18">
        <f>1350-54</f>
        <v>1296</v>
      </c>
      <c r="J1130" s="18">
        <v>1296</v>
      </c>
      <c r="K1130" s="218">
        <f t="shared" si="95"/>
        <v>100</v>
      </c>
      <c r="L1130" s="279"/>
      <c r="M1130" s="285"/>
      <c r="N1130" s="18"/>
      <c r="O1130" s="218"/>
      <c r="P1130" s="279"/>
      <c r="Q1130" s="285">
        <f t="shared" si="98"/>
        <v>1296</v>
      </c>
      <c r="R1130" s="18">
        <f t="shared" si="98"/>
        <v>1296</v>
      </c>
      <c r="S1130" s="219">
        <f t="shared" si="96"/>
        <v>100</v>
      </c>
    </row>
    <row r="1131" spans="2:19" x14ac:dyDescent="0.2">
      <c r="B1131" s="78">
        <f t="shared" si="97"/>
        <v>558</v>
      </c>
      <c r="C1131" s="3"/>
      <c r="D1131" s="3"/>
      <c r="E1131" s="3"/>
      <c r="F1131" s="25" t="s">
        <v>172</v>
      </c>
      <c r="G1131" s="3">
        <v>637</v>
      </c>
      <c r="H1131" s="3" t="s">
        <v>134</v>
      </c>
      <c r="I1131" s="18">
        <v>720</v>
      </c>
      <c r="J1131" s="18">
        <v>720</v>
      </c>
      <c r="K1131" s="218">
        <f t="shared" si="95"/>
        <v>100</v>
      </c>
      <c r="L1131" s="279"/>
      <c r="M1131" s="285"/>
      <c r="N1131" s="18"/>
      <c r="O1131" s="218"/>
      <c r="P1131" s="279"/>
      <c r="Q1131" s="285">
        <f t="shared" si="98"/>
        <v>720</v>
      </c>
      <c r="R1131" s="18">
        <f t="shared" si="98"/>
        <v>720</v>
      </c>
      <c r="S1131" s="219">
        <f t="shared" si="96"/>
        <v>100</v>
      </c>
    </row>
    <row r="1132" spans="2:19" x14ac:dyDescent="0.2">
      <c r="B1132" s="78">
        <f t="shared" si="97"/>
        <v>559</v>
      </c>
      <c r="C1132" s="7"/>
      <c r="D1132" s="7"/>
      <c r="E1132" s="7"/>
      <c r="F1132" s="24" t="s">
        <v>172</v>
      </c>
      <c r="G1132" s="7">
        <v>640</v>
      </c>
      <c r="H1132" s="7" t="s">
        <v>141</v>
      </c>
      <c r="I1132" s="22">
        <v>492</v>
      </c>
      <c r="J1132" s="22">
        <v>492</v>
      </c>
      <c r="K1132" s="218">
        <f t="shared" si="95"/>
        <v>100</v>
      </c>
      <c r="L1132" s="278"/>
      <c r="M1132" s="284"/>
      <c r="N1132" s="22"/>
      <c r="O1132" s="218"/>
      <c r="P1132" s="278"/>
      <c r="Q1132" s="284">
        <f t="shared" si="98"/>
        <v>492</v>
      </c>
      <c r="R1132" s="22">
        <f t="shared" si="98"/>
        <v>492</v>
      </c>
      <c r="S1132" s="219">
        <f t="shared" si="96"/>
        <v>100</v>
      </c>
    </row>
    <row r="1133" spans="2:19" x14ac:dyDescent="0.2">
      <c r="B1133" s="78">
        <f t="shared" si="97"/>
        <v>560</v>
      </c>
      <c r="C1133" s="6"/>
      <c r="D1133" s="6"/>
      <c r="E1133" s="6" t="s">
        <v>88</v>
      </c>
      <c r="F1133" s="28"/>
      <c r="G1133" s="6"/>
      <c r="H1133" s="6" t="s">
        <v>89</v>
      </c>
      <c r="I1133" s="39">
        <f>I1134+I1135+I1136</f>
        <v>79569</v>
      </c>
      <c r="J1133" s="39">
        <f>J1134+J1135+J1136</f>
        <v>82173</v>
      </c>
      <c r="K1133" s="218">
        <f t="shared" si="95"/>
        <v>103.27263130113487</v>
      </c>
      <c r="L1133" s="278"/>
      <c r="M1133" s="343">
        <v>0</v>
      </c>
      <c r="N1133" s="39">
        <v>0</v>
      </c>
      <c r="O1133" s="218"/>
      <c r="P1133" s="278"/>
      <c r="Q1133" s="343">
        <f t="shared" si="98"/>
        <v>79569</v>
      </c>
      <c r="R1133" s="39">
        <f t="shared" si="98"/>
        <v>82173</v>
      </c>
      <c r="S1133" s="219">
        <f t="shared" si="96"/>
        <v>103.27263130113487</v>
      </c>
    </row>
    <row r="1134" spans="2:19" x14ac:dyDescent="0.2">
      <c r="B1134" s="78">
        <f t="shared" si="97"/>
        <v>561</v>
      </c>
      <c r="C1134" s="7"/>
      <c r="D1134" s="7"/>
      <c r="E1134" s="7"/>
      <c r="F1134" s="24" t="s">
        <v>172</v>
      </c>
      <c r="G1134" s="7">
        <v>610</v>
      </c>
      <c r="H1134" s="7" t="s">
        <v>143</v>
      </c>
      <c r="I1134" s="22">
        <v>34488</v>
      </c>
      <c r="J1134" s="22">
        <v>34488</v>
      </c>
      <c r="K1134" s="218">
        <f t="shared" si="95"/>
        <v>100</v>
      </c>
      <c r="L1134" s="278"/>
      <c r="M1134" s="284"/>
      <c r="N1134" s="22"/>
      <c r="O1134" s="218"/>
      <c r="P1134" s="278"/>
      <c r="Q1134" s="284">
        <f t="shared" si="98"/>
        <v>34488</v>
      </c>
      <c r="R1134" s="22">
        <f t="shared" si="98"/>
        <v>34488</v>
      </c>
      <c r="S1134" s="219">
        <f t="shared" si="96"/>
        <v>100</v>
      </c>
    </row>
    <row r="1135" spans="2:19" x14ac:dyDescent="0.2">
      <c r="B1135" s="78">
        <f t="shared" si="97"/>
        <v>562</v>
      </c>
      <c r="C1135" s="7"/>
      <c r="D1135" s="7"/>
      <c r="E1135" s="7"/>
      <c r="F1135" s="24" t="s">
        <v>172</v>
      </c>
      <c r="G1135" s="7">
        <v>620</v>
      </c>
      <c r="H1135" s="7" t="s">
        <v>136</v>
      </c>
      <c r="I1135" s="22">
        <v>12671</v>
      </c>
      <c r="J1135" s="22">
        <v>12671</v>
      </c>
      <c r="K1135" s="218">
        <f t="shared" si="95"/>
        <v>100</v>
      </c>
      <c r="L1135" s="278"/>
      <c r="M1135" s="284"/>
      <c r="N1135" s="22"/>
      <c r="O1135" s="218"/>
      <c r="P1135" s="278"/>
      <c r="Q1135" s="284">
        <f t="shared" si="98"/>
        <v>12671</v>
      </c>
      <c r="R1135" s="22">
        <f t="shared" si="98"/>
        <v>12671</v>
      </c>
      <c r="S1135" s="219">
        <f t="shared" si="96"/>
        <v>100</v>
      </c>
    </row>
    <row r="1136" spans="2:19" x14ac:dyDescent="0.2">
      <c r="B1136" s="78">
        <f t="shared" si="97"/>
        <v>563</v>
      </c>
      <c r="C1136" s="7"/>
      <c r="D1136" s="7"/>
      <c r="E1136" s="7"/>
      <c r="F1136" s="24" t="s">
        <v>172</v>
      </c>
      <c r="G1136" s="7">
        <v>630</v>
      </c>
      <c r="H1136" s="7" t="s">
        <v>133</v>
      </c>
      <c r="I1136" s="22">
        <f>SUM(I1137:I1139)</f>
        <v>32410</v>
      </c>
      <c r="J1136" s="22">
        <f>SUM(J1137:J1139)</f>
        <v>35014</v>
      </c>
      <c r="K1136" s="218">
        <f t="shared" si="95"/>
        <v>108.03455723542118</v>
      </c>
      <c r="L1136" s="278"/>
      <c r="M1136" s="284"/>
      <c r="N1136" s="22"/>
      <c r="O1136" s="218"/>
      <c r="P1136" s="278"/>
      <c r="Q1136" s="284">
        <f t="shared" si="98"/>
        <v>32410</v>
      </c>
      <c r="R1136" s="22">
        <f t="shared" si="98"/>
        <v>35014</v>
      </c>
      <c r="S1136" s="219">
        <f t="shared" si="96"/>
        <v>108.03455723542118</v>
      </c>
    </row>
    <row r="1137" spans="2:19" x14ac:dyDescent="0.2">
      <c r="B1137" s="78">
        <f t="shared" si="97"/>
        <v>564</v>
      </c>
      <c r="C1137" s="3"/>
      <c r="D1137" s="3"/>
      <c r="E1137" s="3"/>
      <c r="F1137" s="25" t="s">
        <v>172</v>
      </c>
      <c r="G1137" s="3">
        <v>633</v>
      </c>
      <c r="H1137" s="3" t="s">
        <v>137</v>
      </c>
      <c r="I1137" s="18">
        <f>29645+1000</f>
        <v>30645</v>
      </c>
      <c r="J1137" s="18">
        <v>33249</v>
      </c>
      <c r="K1137" s="218">
        <f t="shared" si="95"/>
        <v>108.49730788056779</v>
      </c>
      <c r="L1137" s="279"/>
      <c r="M1137" s="285"/>
      <c r="N1137" s="18"/>
      <c r="O1137" s="218"/>
      <c r="P1137" s="279"/>
      <c r="Q1137" s="285">
        <f t="shared" si="98"/>
        <v>30645</v>
      </c>
      <c r="R1137" s="18">
        <f t="shared" si="98"/>
        <v>33249</v>
      </c>
      <c r="S1137" s="219">
        <f t="shared" si="96"/>
        <v>108.49730788056779</v>
      </c>
    </row>
    <row r="1138" spans="2:19" x14ac:dyDescent="0.2">
      <c r="B1138" s="78">
        <f t="shared" si="97"/>
        <v>565</v>
      </c>
      <c r="C1138" s="3"/>
      <c r="D1138" s="3"/>
      <c r="E1138" s="3"/>
      <c r="F1138" s="25" t="s">
        <v>172</v>
      </c>
      <c r="G1138" s="3">
        <v>635</v>
      </c>
      <c r="H1138" s="3" t="s">
        <v>145</v>
      </c>
      <c r="I1138" s="18">
        <f>1500-1000</f>
        <v>500</v>
      </c>
      <c r="J1138" s="18">
        <v>500</v>
      </c>
      <c r="K1138" s="218">
        <f t="shared" si="95"/>
        <v>100</v>
      </c>
      <c r="L1138" s="279"/>
      <c r="M1138" s="285"/>
      <c r="N1138" s="18"/>
      <c r="O1138" s="218"/>
      <c r="P1138" s="279"/>
      <c r="Q1138" s="285">
        <f t="shared" si="98"/>
        <v>500</v>
      </c>
      <c r="R1138" s="18">
        <f t="shared" si="98"/>
        <v>500</v>
      </c>
      <c r="S1138" s="219">
        <f t="shared" si="96"/>
        <v>100</v>
      </c>
    </row>
    <row r="1139" spans="2:19" x14ac:dyDescent="0.2">
      <c r="B1139" s="78">
        <f t="shared" si="97"/>
        <v>566</v>
      </c>
      <c r="C1139" s="3"/>
      <c r="D1139" s="3"/>
      <c r="E1139" s="3"/>
      <c r="F1139" s="25" t="s">
        <v>172</v>
      </c>
      <c r="G1139" s="3">
        <v>637</v>
      </c>
      <c r="H1139" s="3" t="s">
        <v>134</v>
      </c>
      <c r="I1139" s="18">
        <f>900+365</f>
        <v>1265</v>
      </c>
      <c r="J1139" s="18">
        <v>1265</v>
      </c>
      <c r="K1139" s="218">
        <f t="shared" si="95"/>
        <v>100</v>
      </c>
      <c r="L1139" s="279"/>
      <c r="M1139" s="285"/>
      <c r="N1139" s="18"/>
      <c r="O1139" s="218"/>
      <c r="P1139" s="279"/>
      <c r="Q1139" s="285">
        <f t="shared" si="98"/>
        <v>1265</v>
      </c>
      <c r="R1139" s="18">
        <f t="shared" si="98"/>
        <v>1265</v>
      </c>
      <c r="S1139" s="219">
        <f t="shared" si="96"/>
        <v>100</v>
      </c>
    </row>
    <row r="1140" spans="2:19" x14ac:dyDescent="0.2">
      <c r="B1140" s="78">
        <f t="shared" si="97"/>
        <v>567</v>
      </c>
      <c r="C1140" s="6"/>
      <c r="D1140" s="6"/>
      <c r="E1140" s="6" t="s">
        <v>111</v>
      </c>
      <c r="F1140" s="28"/>
      <c r="G1140" s="6"/>
      <c r="H1140" s="6" t="s">
        <v>112</v>
      </c>
      <c r="I1140" s="39">
        <f>I1141+I1142+I1143+I1147</f>
        <v>46220</v>
      </c>
      <c r="J1140" s="39">
        <f>J1141+J1142+J1143+J1147</f>
        <v>46117</v>
      </c>
      <c r="K1140" s="218">
        <f t="shared" si="95"/>
        <v>99.777152747728266</v>
      </c>
      <c r="L1140" s="278"/>
      <c r="M1140" s="343">
        <v>0</v>
      </c>
      <c r="N1140" s="39">
        <v>0</v>
      </c>
      <c r="O1140" s="218"/>
      <c r="P1140" s="278"/>
      <c r="Q1140" s="343">
        <f t="shared" si="98"/>
        <v>46220</v>
      </c>
      <c r="R1140" s="39">
        <f t="shared" si="98"/>
        <v>46117</v>
      </c>
      <c r="S1140" s="219">
        <f t="shared" si="96"/>
        <v>99.777152747728266</v>
      </c>
    </row>
    <row r="1141" spans="2:19" x14ac:dyDescent="0.2">
      <c r="B1141" s="78">
        <f t="shared" si="97"/>
        <v>568</v>
      </c>
      <c r="C1141" s="7"/>
      <c r="D1141" s="7"/>
      <c r="E1141" s="7"/>
      <c r="F1141" s="24" t="s">
        <v>172</v>
      </c>
      <c r="G1141" s="7">
        <v>610</v>
      </c>
      <c r="H1141" s="7" t="s">
        <v>143</v>
      </c>
      <c r="I1141" s="22">
        <v>19722</v>
      </c>
      <c r="J1141" s="22">
        <v>19722</v>
      </c>
      <c r="K1141" s="218">
        <f t="shared" si="95"/>
        <v>100</v>
      </c>
      <c r="L1141" s="278"/>
      <c r="M1141" s="284"/>
      <c r="N1141" s="22"/>
      <c r="O1141" s="218"/>
      <c r="P1141" s="278"/>
      <c r="Q1141" s="284">
        <f t="shared" si="98"/>
        <v>19722</v>
      </c>
      <c r="R1141" s="22">
        <f t="shared" si="98"/>
        <v>19722</v>
      </c>
      <c r="S1141" s="219">
        <f t="shared" si="96"/>
        <v>100</v>
      </c>
    </row>
    <row r="1142" spans="2:19" x14ac:dyDescent="0.2">
      <c r="B1142" s="78">
        <f t="shared" si="97"/>
        <v>569</v>
      </c>
      <c r="C1142" s="7"/>
      <c r="D1142" s="7"/>
      <c r="E1142" s="7"/>
      <c r="F1142" s="24" t="s">
        <v>172</v>
      </c>
      <c r="G1142" s="7">
        <v>620</v>
      </c>
      <c r="H1142" s="7" t="s">
        <v>136</v>
      </c>
      <c r="I1142" s="22">
        <v>7215</v>
      </c>
      <c r="J1142" s="22">
        <v>7169</v>
      </c>
      <c r="K1142" s="218">
        <f t="shared" si="95"/>
        <v>99.36243936243936</v>
      </c>
      <c r="L1142" s="278"/>
      <c r="M1142" s="284"/>
      <c r="N1142" s="22"/>
      <c r="O1142" s="218"/>
      <c r="P1142" s="278"/>
      <c r="Q1142" s="284">
        <f t="shared" si="98"/>
        <v>7215</v>
      </c>
      <c r="R1142" s="22">
        <f t="shared" si="98"/>
        <v>7169</v>
      </c>
      <c r="S1142" s="219">
        <f t="shared" si="96"/>
        <v>99.36243936243936</v>
      </c>
    </row>
    <row r="1143" spans="2:19" x14ac:dyDescent="0.2">
      <c r="B1143" s="78">
        <f t="shared" si="97"/>
        <v>570</v>
      </c>
      <c r="C1143" s="7"/>
      <c r="D1143" s="7"/>
      <c r="E1143" s="7"/>
      <c r="F1143" s="24" t="s">
        <v>172</v>
      </c>
      <c r="G1143" s="7">
        <v>630</v>
      </c>
      <c r="H1143" s="7" t="s">
        <v>133</v>
      </c>
      <c r="I1143" s="22">
        <f>SUM(I1144:I1146)</f>
        <v>19135</v>
      </c>
      <c r="J1143" s="22">
        <f>SUM(J1144:J1146)</f>
        <v>19078</v>
      </c>
      <c r="K1143" s="218">
        <f t="shared" si="95"/>
        <v>99.702116540371037</v>
      </c>
      <c r="L1143" s="278"/>
      <c r="M1143" s="284"/>
      <c r="N1143" s="22"/>
      <c r="O1143" s="218"/>
      <c r="P1143" s="278"/>
      <c r="Q1143" s="284">
        <f t="shared" si="98"/>
        <v>19135</v>
      </c>
      <c r="R1143" s="22">
        <f t="shared" si="98"/>
        <v>19078</v>
      </c>
      <c r="S1143" s="219">
        <f t="shared" si="96"/>
        <v>99.702116540371037</v>
      </c>
    </row>
    <row r="1144" spans="2:19" x14ac:dyDescent="0.2">
      <c r="B1144" s="78">
        <f t="shared" si="97"/>
        <v>571</v>
      </c>
      <c r="C1144" s="3"/>
      <c r="D1144" s="3"/>
      <c r="E1144" s="3"/>
      <c r="F1144" s="25" t="s">
        <v>172</v>
      </c>
      <c r="G1144" s="3">
        <v>633</v>
      </c>
      <c r="H1144" s="3" t="s">
        <v>137</v>
      </c>
      <c r="I1144" s="18">
        <f>17055+1100</f>
        <v>18155</v>
      </c>
      <c r="J1144" s="18">
        <v>18100</v>
      </c>
      <c r="K1144" s="218">
        <f t="shared" si="95"/>
        <v>99.697053153401271</v>
      </c>
      <c r="L1144" s="279"/>
      <c r="M1144" s="285"/>
      <c r="N1144" s="18"/>
      <c r="O1144" s="218"/>
      <c r="P1144" s="279"/>
      <c r="Q1144" s="285">
        <f t="shared" si="98"/>
        <v>18155</v>
      </c>
      <c r="R1144" s="18">
        <f t="shared" si="98"/>
        <v>18100</v>
      </c>
      <c r="S1144" s="219">
        <f t="shared" si="96"/>
        <v>99.697053153401271</v>
      </c>
    </row>
    <row r="1145" spans="2:19" x14ac:dyDescent="0.2">
      <c r="B1145" s="78">
        <f t="shared" si="97"/>
        <v>572</v>
      </c>
      <c r="C1145" s="3"/>
      <c r="D1145" s="3"/>
      <c r="E1145" s="3"/>
      <c r="F1145" s="25" t="s">
        <v>172</v>
      </c>
      <c r="G1145" s="3">
        <v>635</v>
      </c>
      <c r="H1145" s="3" t="s">
        <v>145</v>
      </c>
      <c r="I1145" s="18">
        <f>1300-1100</f>
        <v>200</v>
      </c>
      <c r="J1145" s="18">
        <v>198</v>
      </c>
      <c r="K1145" s="218">
        <f t="shared" si="95"/>
        <v>99</v>
      </c>
      <c r="L1145" s="279"/>
      <c r="M1145" s="285"/>
      <c r="N1145" s="18"/>
      <c r="O1145" s="218"/>
      <c r="P1145" s="279"/>
      <c r="Q1145" s="285">
        <f t="shared" si="98"/>
        <v>200</v>
      </c>
      <c r="R1145" s="18">
        <f t="shared" si="98"/>
        <v>198</v>
      </c>
      <c r="S1145" s="219">
        <f t="shared" si="96"/>
        <v>99</v>
      </c>
    </row>
    <row r="1146" spans="2:19" x14ac:dyDescent="0.2">
      <c r="B1146" s="78">
        <f t="shared" si="97"/>
        <v>573</v>
      </c>
      <c r="C1146" s="3"/>
      <c r="D1146" s="3"/>
      <c r="E1146" s="3"/>
      <c r="F1146" s="25" t="s">
        <v>172</v>
      </c>
      <c r="G1146" s="3">
        <v>637</v>
      </c>
      <c r="H1146" s="3" t="s">
        <v>134</v>
      </c>
      <c r="I1146" s="18">
        <v>780</v>
      </c>
      <c r="J1146" s="18">
        <v>780</v>
      </c>
      <c r="K1146" s="218">
        <f t="shared" si="95"/>
        <v>100</v>
      </c>
      <c r="L1146" s="279"/>
      <c r="M1146" s="285"/>
      <c r="N1146" s="18"/>
      <c r="O1146" s="218"/>
      <c r="P1146" s="279"/>
      <c r="Q1146" s="285">
        <f t="shared" si="98"/>
        <v>780</v>
      </c>
      <c r="R1146" s="18">
        <f t="shared" si="98"/>
        <v>780</v>
      </c>
      <c r="S1146" s="219">
        <f t="shared" si="96"/>
        <v>100</v>
      </c>
    </row>
    <row r="1147" spans="2:19" x14ac:dyDescent="0.2">
      <c r="B1147" s="78">
        <f t="shared" si="97"/>
        <v>574</v>
      </c>
      <c r="C1147" s="3"/>
      <c r="D1147" s="3"/>
      <c r="E1147" s="3"/>
      <c r="F1147" s="24" t="s">
        <v>172</v>
      </c>
      <c r="G1147" s="7">
        <v>640</v>
      </c>
      <c r="H1147" s="7" t="s">
        <v>141</v>
      </c>
      <c r="I1147" s="22">
        <v>148</v>
      </c>
      <c r="J1147" s="22">
        <v>148</v>
      </c>
      <c r="K1147" s="218">
        <f t="shared" ref="K1147:K1201" si="99">J1147/I1147*100</f>
        <v>100</v>
      </c>
      <c r="L1147" s="278"/>
      <c r="M1147" s="284"/>
      <c r="N1147" s="22"/>
      <c r="O1147" s="218"/>
      <c r="P1147" s="278"/>
      <c r="Q1147" s="284">
        <f t="shared" si="98"/>
        <v>148</v>
      </c>
      <c r="R1147" s="22">
        <f t="shared" si="98"/>
        <v>148</v>
      </c>
      <c r="S1147" s="219">
        <f t="shared" si="96"/>
        <v>100</v>
      </c>
    </row>
    <row r="1148" spans="2:19" x14ac:dyDescent="0.2">
      <c r="B1148" s="78">
        <f t="shared" si="97"/>
        <v>575</v>
      </c>
      <c r="C1148" s="6"/>
      <c r="D1148" s="6"/>
      <c r="E1148" s="6" t="s">
        <v>110</v>
      </c>
      <c r="F1148" s="28"/>
      <c r="G1148" s="6"/>
      <c r="H1148" s="6" t="s">
        <v>67</v>
      </c>
      <c r="I1148" s="39">
        <f>I1149+I1150+I1151+I1155</f>
        <v>55778</v>
      </c>
      <c r="J1148" s="39">
        <f>J1149+J1150+J1151+J1155</f>
        <v>55302</v>
      </c>
      <c r="K1148" s="218">
        <f t="shared" si="99"/>
        <v>99.146616945749216</v>
      </c>
      <c r="L1148" s="278"/>
      <c r="M1148" s="343">
        <v>0</v>
      </c>
      <c r="N1148" s="39">
        <v>0</v>
      </c>
      <c r="O1148" s="218"/>
      <c r="P1148" s="278"/>
      <c r="Q1148" s="343">
        <f t="shared" si="98"/>
        <v>55778</v>
      </c>
      <c r="R1148" s="39">
        <f t="shared" si="98"/>
        <v>55302</v>
      </c>
      <c r="S1148" s="219">
        <f t="shared" si="96"/>
        <v>99.146616945749216</v>
      </c>
    </row>
    <row r="1149" spans="2:19" x14ac:dyDescent="0.2">
      <c r="B1149" s="78">
        <f t="shared" si="97"/>
        <v>576</v>
      </c>
      <c r="C1149" s="7"/>
      <c r="D1149" s="7"/>
      <c r="E1149" s="7"/>
      <c r="F1149" s="24" t="s">
        <v>172</v>
      </c>
      <c r="G1149" s="7">
        <v>610</v>
      </c>
      <c r="H1149" s="7" t="s">
        <v>143</v>
      </c>
      <c r="I1149" s="22">
        <v>22080</v>
      </c>
      <c r="J1149" s="22">
        <v>22080</v>
      </c>
      <c r="K1149" s="218">
        <f t="shared" si="99"/>
        <v>100</v>
      </c>
      <c r="L1149" s="278"/>
      <c r="M1149" s="284"/>
      <c r="N1149" s="22"/>
      <c r="O1149" s="218"/>
      <c r="P1149" s="278"/>
      <c r="Q1149" s="284">
        <f t="shared" si="98"/>
        <v>22080</v>
      </c>
      <c r="R1149" s="22">
        <f t="shared" si="98"/>
        <v>22080</v>
      </c>
      <c r="S1149" s="219">
        <f t="shared" si="96"/>
        <v>100</v>
      </c>
    </row>
    <row r="1150" spans="2:19" x14ac:dyDescent="0.2">
      <c r="B1150" s="78">
        <f t="shared" si="97"/>
        <v>577</v>
      </c>
      <c r="C1150" s="7"/>
      <c r="D1150" s="7"/>
      <c r="E1150" s="7"/>
      <c r="F1150" s="24" t="s">
        <v>172</v>
      </c>
      <c r="G1150" s="7">
        <v>620</v>
      </c>
      <c r="H1150" s="7" t="s">
        <v>136</v>
      </c>
      <c r="I1150" s="22">
        <v>8266</v>
      </c>
      <c r="J1150" s="22">
        <v>8266</v>
      </c>
      <c r="K1150" s="218">
        <f t="shared" si="99"/>
        <v>100</v>
      </c>
      <c r="L1150" s="278"/>
      <c r="M1150" s="284"/>
      <c r="N1150" s="22"/>
      <c r="O1150" s="218"/>
      <c r="P1150" s="278"/>
      <c r="Q1150" s="284">
        <f t="shared" si="98"/>
        <v>8266</v>
      </c>
      <c r="R1150" s="22">
        <f t="shared" si="98"/>
        <v>8266</v>
      </c>
      <c r="S1150" s="219">
        <f t="shared" ref="S1150:S1201" si="100">R1150/Q1150*100</f>
        <v>100</v>
      </c>
    </row>
    <row r="1151" spans="2:19" x14ac:dyDescent="0.2">
      <c r="B1151" s="78">
        <f t="shared" si="97"/>
        <v>578</v>
      </c>
      <c r="C1151" s="7"/>
      <c r="D1151" s="7"/>
      <c r="E1151" s="7"/>
      <c r="F1151" s="24" t="s">
        <v>172</v>
      </c>
      <c r="G1151" s="7">
        <v>630</v>
      </c>
      <c r="H1151" s="7" t="s">
        <v>133</v>
      </c>
      <c r="I1151" s="22">
        <f>SUM(I1152:I1154)</f>
        <v>24940</v>
      </c>
      <c r="J1151" s="22">
        <f>SUM(J1152:J1154)</f>
        <v>24540</v>
      </c>
      <c r="K1151" s="218">
        <f t="shared" si="99"/>
        <v>98.39615076182838</v>
      </c>
      <c r="L1151" s="278"/>
      <c r="M1151" s="284"/>
      <c r="N1151" s="22"/>
      <c r="O1151" s="218"/>
      <c r="P1151" s="278"/>
      <c r="Q1151" s="284">
        <f t="shared" si="98"/>
        <v>24940</v>
      </c>
      <c r="R1151" s="22">
        <f t="shared" si="98"/>
        <v>24540</v>
      </c>
      <c r="S1151" s="219">
        <f t="shared" si="100"/>
        <v>98.39615076182838</v>
      </c>
    </row>
    <row r="1152" spans="2:19" x14ac:dyDescent="0.2">
      <c r="B1152" s="78">
        <f t="shared" si="97"/>
        <v>579</v>
      </c>
      <c r="C1152" s="3"/>
      <c r="D1152" s="3"/>
      <c r="E1152" s="3"/>
      <c r="F1152" s="25" t="s">
        <v>172</v>
      </c>
      <c r="G1152" s="3">
        <v>633</v>
      </c>
      <c r="H1152" s="3" t="s">
        <v>137</v>
      </c>
      <c r="I1152" s="18">
        <f>22405+385+1208</f>
        <v>23998</v>
      </c>
      <c r="J1152" s="18">
        <v>23598</v>
      </c>
      <c r="K1152" s="218">
        <f t="shared" si="99"/>
        <v>98.333194432869405</v>
      </c>
      <c r="L1152" s="279"/>
      <c r="M1152" s="285"/>
      <c r="N1152" s="18"/>
      <c r="O1152" s="218"/>
      <c r="P1152" s="279"/>
      <c r="Q1152" s="285">
        <f t="shared" si="98"/>
        <v>23998</v>
      </c>
      <c r="R1152" s="18">
        <f t="shared" si="98"/>
        <v>23598</v>
      </c>
      <c r="S1152" s="219">
        <f t="shared" si="100"/>
        <v>98.333194432869405</v>
      </c>
    </row>
    <row r="1153" spans="2:19" x14ac:dyDescent="0.2">
      <c r="B1153" s="78">
        <f t="shared" ref="B1153:B1216" si="101">B1152+1</f>
        <v>580</v>
      </c>
      <c r="C1153" s="3"/>
      <c r="D1153" s="3"/>
      <c r="E1153" s="3"/>
      <c r="F1153" s="25" t="s">
        <v>172</v>
      </c>
      <c r="G1153" s="3">
        <v>635</v>
      </c>
      <c r="H1153" s="3" t="s">
        <v>145</v>
      </c>
      <c r="I1153" s="18">
        <f>1400-1208</f>
        <v>192</v>
      </c>
      <c r="J1153" s="18">
        <v>192</v>
      </c>
      <c r="K1153" s="218">
        <f t="shared" si="99"/>
        <v>100</v>
      </c>
      <c r="L1153" s="279"/>
      <c r="M1153" s="285"/>
      <c r="N1153" s="18"/>
      <c r="O1153" s="218"/>
      <c r="P1153" s="279"/>
      <c r="Q1153" s="285">
        <f t="shared" si="98"/>
        <v>192</v>
      </c>
      <c r="R1153" s="18">
        <f t="shared" si="98"/>
        <v>192</v>
      </c>
      <c r="S1153" s="219">
        <f t="shared" si="100"/>
        <v>100</v>
      </c>
    </row>
    <row r="1154" spans="2:19" x14ac:dyDescent="0.2">
      <c r="B1154" s="78">
        <f t="shared" si="101"/>
        <v>581</v>
      </c>
      <c r="C1154" s="3"/>
      <c r="D1154" s="3"/>
      <c r="E1154" s="3"/>
      <c r="F1154" s="25" t="s">
        <v>172</v>
      </c>
      <c r="G1154" s="3">
        <v>637</v>
      </c>
      <c r="H1154" s="3" t="s">
        <v>134</v>
      </c>
      <c r="I1154" s="18">
        <v>750</v>
      </c>
      <c r="J1154" s="18">
        <v>750</v>
      </c>
      <c r="K1154" s="218">
        <f t="shared" si="99"/>
        <v>100</v>
      </c>
      <c r="L1154" s="279"/>
      <c r="M1154" s="285"/>
      <c r="N1154" s="18"/>
      <c r="O1154" s="218"/>
      <c r="P1154" s="279"/>
      <c r="Q1154" s="285">
        <f t="shared" si="98"/>
        <v>750</v>
      </c>
      <c r="R1154" s="18">
        <f t="shared" si="98"/>
        <v>750</v>
      </c>
      <c r="S1154" s="219">
        <f t="shared" si="100"/>
        <v>100</v>
      </c>
    </row>
    <row r="1155" spans="2:19" x14ac:dyDescent="0.2">
      <c r="B1155" s="78">
        <f t="shared" si="101"/>
        <v>582</v>
      </c>
      <c r="C1155" s="7"/>
      <c r="D1155" s="7"/>
      <c r="E1155" s="7"/>
      <c r="F1155" s="24" t="s">
        <v>172</v>
      </c>
      <c r="G1155" s="7">
        <v>640</v>
      </c>
      <c r="H1155" s="7" t="s">
        <v>141</v>
      </c>
      <c r="I1155" s="22">
        <v>492</v>
      </c>
      <c r="J1155" s="22">
        <v>416</v>
      </c>
      <c r="K1155" s="218">
        <f t="shared" si="99"/>
        <v>84.552845528455293</v>
      </c>
      <c r="L1155" s="278"/>
      <c r="M1155" s="284"/>
      <c r="N1155" s="22"/>
      <c r="O1155" s="218"/>
      <c r="P1155" s="278"/>
      <c r="Q1155" s="284">
        <f t="shared" si="98"/>
        <v>492</v>
      </c>
      <c r="R1155" s="22">
        <f t="shared" si="98"/>
        <v>416</v>
      </c>
      <c r="S1155" s="219">
        <f t="shared" si="100"/>
        <v>84.552845528455293</v>
      </c>
    </row>
    <row r="1156" spans="2:19" x14ac:dyDescent="0.2">
      <c r="B1156" s="78">
        <f t="shared" si="101"/>
        <v>583</v>
      </c>
      <c r="C1156" s="6"/>
      <c r="D1156" s="6"/>
      <c r="E1156" s="6" t="s">
        <v>106</v>
      </c>
      <c r="F1156" s="28"/>
      <c r="G1156" s="6"/>
      <c r="H1156" s="6" t="s">
        <v>73</v>
      </c>
      <c r="I1156" s="39">
        <f>I1157+I1158+I1159</f>
        <v>66164</v>
      </c>
      <c r="J1156" s="39">
        <f>J1157+J1158+J1159</f>
        <v>69861</v>
      </c>
      <c r="K1156" s="218">
        <f t="shared" si="99"/>
        <v>105.58763073574752</v>
      </c>
      <c r="L1156" s="278"/>
      <c r="M1156" s="343">
        <v>0</v>
      </c>
      <c r="N1156" s="39">
        <v>0</v>
      </c>
      <c r="O1156" s="218"/>
      <c r="P1156" s="278"/>
      <c r="Q1156" s="343">
        <f t="shared" si="98"/>
        <v>66164</v>
      </c>
      <c r="R1156" s="39">
        <f t="shared" si="98"/>
        <v>69861</v>
      </c>
      <c r="S1156" s="219">
        <f t="shared" si="100"/>
        <v>105.58763073574752</v>
      </c>
    </row>
    <row r="1157" spans="2:19" x14ac:dyDescent="0.2">
      <c r="B1157" s="78">
        <f t="shared" si="101"/>
        <v>584</v>
      </c>
      <c r="C1157" s="7"/>
      <c r="D1157" s="7"/>
      <c r="E1157" s="7"/>
      <c r="F1157" s="24" t="s">
        <v>172</v>
      </c>
      <c r="G1157" s="7">
        <v>610</v>
      </c>
      <c r="H1157" s="7" t="s">
        <v>143</v>
      </c>
      <c r="I1157" s="22">
        <v>25835</v>
      </c>
      <c r="J1157" s="22">
        <v>25835</v>
      </c>
      <c r="K1157" s="218">
        <f t="shared" si="99"/>
        <v>100</v>
      </c>
      <c r="L1157" s="278"/>
      <c r="M1157" s="284"/>
      <c r="N1157" s="22"/>
      <c r="O1157" s="218"/>
      <c r="P1157" s="278"/>
      <c r="Q1157" s="284">
        <f t="shared" ref="Q1157:R1224" si="102">I1157+M1157</f>
        <v>25835</v>
      </c>
      <c r="R1157" s="22">
        <f t="shared" si="102"/>
        <v>25835</v>
      </c>
      <c r="S1157" s="219">
        <f t="shared" si="100"/>
        <v>100</v>
      </c>
    </row>
    <row r="1158" spans="2:19" x14ac:dyDescent="0.2">
      <c r="B1158" s="78">
        <f t="shared" si="101"/>
        <v>585</v>
      </c>
      <c r="C1158" s="7"/>
      <c r="D1158" s="7"/>
      <c r="E1158" s="7"/>
      <c r="F1158" s="24" t="s">
        <v>172</v>
      </c>
      <c r="G1158" s="7">
        <v>620</v>
      </c>
      <c r="H1158" s="7" t="s">
        <v>136</v>
      </c>
      <c r="I1158" s="22">
        <v>9474</v>
      </c>
      <c r="J1158" s="22">
        <v>9474</v>
      </c>
      <c r="K1158" s="218">
        <f t="shared" si="99"/>
        <v>100</v>
      </c>
      <c r="L1158" s="278"/>
      <c r="M1158" s="284"/>
      <c r="N1158" s="22"/>
      <c r="O1158" s="218"/>
      <c r="P1158" s="278"/>
      <c r="Q1158" s="284">
        <f t="shared" si="102"/>
        <v>9474</v>
      </c>
      <c r="R1158" s="22">
        <f t="shared" si="102"/>
        <v>9474</v>
      </c>
      <c r="S1158" s="219">
        <f t="shared" si="100"/>
        <v>100</v>
      </c>
    </row>
    <row r="1159" spans="2:19" x14ac:dyDescent="0.2">
      <c r="B1159" s="78">
        <f t="shared" si="101"/>
        <v>586</v>
      </c>
      <c r="C1159" s="7"/>
      <c r="D1159" s="7"/>
      <c r="E1159" s="7"/>
      <c r="F1159" s="24" t="s">
        <v>172</v>
      </c>
      <c r="G1159" s="7">
        <v>630</v>
      </c>
      <c r="H1159" s="7" t="s">
        <v>133</v>
      </c>
      <c r="I1159" s="22">
        <f>SUM(I1160:I1161)</f>
        <v>30855</v>
      </c>
      <c r="J1159" s="22">
        <f>SUM(J1160:J1161)</f>
        <v>34552</v>
      </c>
      <c r="K1159" s="218">
        <f t="shared" si="99"/>
        <v>111.98185059147625</v>
      </c>
      <c r="L1159" s="278"/>
      <c r="M1159" s="284"/>
      <c r="N1159" s="22"/>
      <c r="O1159" s="218"/>
      <c r="P1159" s="278"/>
      <c r="Q1159" s="284">
        <f t="shared" si="102"/>
        <v>30855</v>
      </c>
      <c r="R1159" s="22">
        <f t="shared" si="102"/>
        <v>34552</v>
      </c>
      <c r="S1159" s="219">
        <f t="shared" si="100"/>
        <v>111.98185059147625</v>
      </c>
    </row>
    <row r="1160" spans="2:19" x14ac:dyDescent="0.2">
      <c r="B1160" s="78">
        <f t="shared" si="101"/>
        <v>587</v>
      </c>
      <c r="C1160" s="3"/>
      <c r="D1160" s="3"/>
      <c r="E1160" s="3"/>
      <c r="F1160" s="25" t="s">
        <v>172</v>
      </c>
      <c r="G1160" s="3">
        <v>633</v>
      </c>
      <c r="H1160" s="3" t="s">
        <v>137</v>
      </c>
      <c r="I1160" s="18">
        <f>27560+89+2211</f>
        <v>29860</v>
      </c>
      <c r="J1160" s="18">
        <v>33557</v>
      </c>
      <c r="K1160" s="218">
        <f t="shared" si="99"/>
        <v>112.38111185532485</v>
      </c>
      <c r="L1160" s="279"/>
      <c r="M1160" s="285"/>
      <c r="N1160" s="18"/>
      <c r="O1160" s="218"/>
      <c r="P1160" s="279"/>
      <c r="Q1160" s="285">
        <f t="shared" si="102"/>
        <v>29860</v>
      </c>
      <c r="R1160" s="18">
        <f t="shared" si="102"/>
        <v>33557</v>
      </c>
      <c r="S1160" s="219">
        <f t="shared" si="100"/>
        <v>112.38111185532485</v>
      </c>
    </row>
    <row r="1161" spans="2:19" x14ac:dyDescent="0.2">
      <c r="B1161" s="78">
        <f t="shared" si="101"/>
        <v>588</v>
      </c>
      <c r="C1161" s="3"/>
      <c r="D1161" s="3"/>
      <c r="E1161" s="3"/>
      <c r="F1161" s="25" t="s">
        <v>172</v>
      </c>
      <c r="G1161" s="3">
        <v>637</v>
      </c>
      <c r="H1161" s="3" t="s">
        <v>134</v>
      </c>
      <c r="I1161" s="18">
        <v>995</v>
      </c>
      <c r="J1161" s="18">
        <v>995</v>
      </c>
      <c r="K1161" s="218">
        <f t="shared" si="99"/>
        <v>100</v>
      </c>
      <c r="L1161" s="279"/>
      <c r="M1161" s="285"/>
      <c r="N1161" s="18"/>
      <c r="O1161" s="218"/>
      <c r="P1161" s="279"/>
      <c r="Q1161" s="285">
        <f t="shared" si="102"/>
        <v>995</v>
      </c>
      <c r="R1161" s="18">
        <f t="shared" si="102"/>
        <v>995</v>
      </c>
      <c r="S1161" s="219">
        <f t="shared" si="100"/>
        <v>100</v>
      </c>
    </row>
    <row r="1162" spans="2:19" x14ac:dyDescent="0.2">
      <c r="B1162" s="78">
        <f t="shared" si="101"/>
        <v>589</v>
      </c>
      <c r="C1162" s="6"/>
      <c r="D1162" s="6"/>
      <c r="E1162" s="6" t="s">
        <v>109</v>
      </c>
      <c r="F1162" s="28"/>
      <c r="G1162" s="6"/>
      <c r="H1162" s="6" t="s">
        <v>74</v>
      </c>
      <c r="I1162" s="39">
        <f>I1163+I1164+I1165</f>
        <v>44928</v>
      </c>
      <c r="J1162" s="39">
        <f>J1163+J1164+J1165</f>
        <v>47186</v>
      </c>
      <c r="K1162" s="218">
        <f t="shared" si="99"/>
        <v>105.0258190883191</v>
      </c>
      <c r="L1162" s="278"/>
      <c r="M1162" s="343">
        <v>0</v>
      </c>
      <c r="N1162" s="39">
        <v>0</v>
      </c>
      <c r="O1162" s="218"/>
      <c r="P1162" s="278"/>
      <c r="Q1162" s="343">
        <f t="shared" si="102"/>
        <v>44928</v>
      </c>
      <c r="R1162" s="39">
        <f t="shared" si="102"/>
        <v>47186</v>
      </c>
      <c r="S1162" s="219">
        <f t="shared" si="100"/>
        <v>105.0258190883191</v>
      </c>
    </row>
    <row r="1163" spans="2:19" x14ac:dyDescent="0.2">
      <c r="B1163" s="78">
        <f t="shared" si="101"/>
        <v>590</v>
      </c>
      <c r="C1163" s="7"/>
      <c r="D1163" s="7"/>
      <c r="E1163" s="7"/>
      <c r="F1163" s="24" t="s">
        <v>172</v>
      </c>
      <c r="G1163" s="7">
        <v>610</v>
      </c>
      <c r="H1163" s="7" t="s">
        <v>143</v>
      </c>
      <c r="I1163" s="22">
        <v>19942</v>
      </c>
      <c r="J1163" s="22">
        <v>19942</v>
      </c>
      <c r="K1163" s="218">
        <f t="shared" si="99"/>
        <v>100</v>
      </c>
      <c r="L1163" s="278"/>
      <c r="M1163" s="284"/>
      <c r="N1163" s="22"/>
      <c r="O1163" s="218"/>
      <c r="P1163" s="278"/>
      <c r="Q1163" s="284">
        <f t="shared" si="102"/>
        <v>19942</v>
      </c>
      <c r="R1163" s="22">
        <f t="shared" si="102"/>
        <v>19942</v>
      </c>
      <c r="S1163" s="219">
        <f t="shared" si="100"/>
        <v>100</v>
      </c>
    </row>
    <row r="1164" spans="2:19" x14ac:dyDescent="0.2">
      <c r="B1164" s="78">
        <f t="shared" si="101"/>
        <v>591</v>
      </c>
      <c r="C1164" s="7"/>
      <c r="D1164" s="7"/>
      <c r="E1164" s="7"/>
      <c r="F1164" s="24" t="s">
        <v>172</v>
      </c>
      <c r="G1164" s="7">
        <v>620</v>
      </c>
      <c r="H1164" s="7" t="s">
        <v>136</v>
      </c>
      <c r="I1164" s="22">
        <v>7296</v>
      </c>
      <c r="J1164" s="22">
        <v>7296</v>
      </c>
      <c r="K1164" s="218">
        <f t="shared" si="99"/>
        <v>100</v>
      </c>
      <c r="L1164" s="278"/>
      <c r="M1164" s="284"/>
      <c r="N1164" s="22"/>
      <c r="O1164" s="218"/>
      <c r="P1164" s="278"/>
      <c r="Q1164" s="284">
        <f t="shared" si="102"/>
        <v>7296</v>
      </c>
      <c r="R1164" s="22">
        <f t="shared" si="102"/>
        <v>7296</v>
      </c>
      <c r="S1164" s="219">
        <f t="shared" si="100"/>
        <v>100</v>
      </c>
    </row>
    <row r="1165" spans="2:19" x14ac:dyDescent="0.2">
      <c r="B1165" s="78">
        <f t="shared" si="101"/>
        <v>592</v>
      </c>
      <c r="C1165" s="7"/>
      <c r="D1165" s="7"/>
      <c r="E1165" s="7"/>
      <c r="F1165" s="24" t="s">
        <v>172</v>
      </c>
      <c r="G1165" s="7">
        <v>630</v>
      </c>
      <c r="H1165" s="7" t="s">
        <v>133</v>
      </c>
      <c r="I1165" s="22">
        <v>17690</v>
      </c>
      <c r="J1165" s="22">
        <f>SUM(J1166:J1167)</f>
        <v>19948</v>
      </c>
      <c r="K1165" s="218">
        <f t="shared" si="99"/>
        <v>112.76427360090446</v>
      </c>
      <c r="L1165" s="278"/>
      <c r="M1165" s="284"/>
      <c r="N1165" s="22"/>
      <c r="O1165" s="218"/>
      <c r="P1165" s="278"/>
      <c r="Q1165" s="284">
        <f t="shared" si="102"/>
        <v>17690</v>
      </c>
      <c r="R1165" s="22">
        <f t="shared" si="102"/>
        <v>19948</v>
      </c>
      <c r="S1165" s="219">
        <f t="shared" si="100"/>
        <v>112.76427360090446</v>
      </c>
    </row>
    <row r="1166" spans="2:19" x14ac:dyDescent="0.2">
      <c r="B1166" s="78">
        <f t="shared" si="101"/>
        <v>593</v>
      </c>
      <c r="C1166" s="3"/>
      <c r="D1166" s="3"/>
      <c r="E1166" s="3"/>
      <c r="F1166" s="25" t="s">
        <v>172</v>
      </c>
      <c r="G1166" s="3">
        <v>633</v>
      </c>
      <c r="H1166" s="3" t="s">
        <v>137</v>
      </c>
      <c r="I1166" s="18">
        <f>15750+1400</f>
        <v>17150</v>
      </c>
      <c r="J1166" s="18">
        <v>19408</v>
      </c>
      <c r="K1166" s="218">
        <f t="shared" si="99"/>
        <v>113.1661807580175</v>
      </c>
      <c r="L1166" s="279"/>
      <c r="M1166" s="285"/>
      <c r="N1166" s="18"/>
      <c r="O1166" s="218"/>
      <c r="P1166" s="279"/>
      <c r="Q1166" s="285">
        <f t="shared" si="102"/>
        <v>17150</v>
      </c>
      <c r="R1166" s="18">
        <f t="shared" si="102"/>
        <v>19408</v>
      </c>
      <c r="S1166" s="219">
        <f t="shared" si="100"/>
        <v>113.1661807580175</v>
      </c>
    </row>
    <row r="1167" spans="2:19" x14ac:dyDescent="0.2">
      <c r="B1167" s="78">
        <f t="shared" si="101"/>
        <v>594</v>
      </c>
      <c r="C1167" s="3"/>
      <c r="D1167" s="3"/>
      <c r="E1167" s="3"/>
      <c r="F1167" s="25" t="s">
        <v>172</v>
      </c>
      <c r="G1167" s="3">
        <v>637</v>
      </c>
      <c r="H1167" s="3" t="s">
        <v>134</v>
      </c>
      <c r="I1167" s="18">
        <v>540</v>
      </c>
      <c r="J1167" s="18">
        <v>540</v>
      </c>
      <c r="K1167" s="218">
        <f t="shared" si="99"/>
        <v>100</v>
      </c>
      <c r="L1167" s="279"/>
      <c r="M1167" s="285"/>
      <c r="N1167" s="18"/>
      <c r="O1167" s="218"/>
      <c r="P1167" s="279"/>
      <c r="Q1167" s="285">
        <f t="shared" si="102"/>
        <v>540</v>
      </c>
      <c r="R1167" s="18">
        <f t="shared" si="102"/>
        <v>540</v>
      </c>
      <c r="S1167" s="219">
        <f t="shared" si="100"/>
        <v>100</v>
      </c>
    </row>
    <row r="1168" spans="2:19" x14ac:dyDescent="0.2">
      <c r="B1168" s="78">
        <f t="shared" si="101"/>
        <v>595</v>
      </c>
      <c r="C1168" s="6"/>
      <c r="D1168" s="6"/>
      <c r="E1168" s="6" t="s">
        <v>102</v>
      </c>
      <c r="F1168" s="28"/>
      <c r="G1168" s="6"/>
      <c r="H1168" s="6" t="s">
        <v>103</v>
      </c>
      <c r="I1168" s="39">
        <f>I1169+I1170+I1171</f>
        <v>29255</v>
      </c>
      <c r="J1168" s="39">
        <f>J1169+J1170+J1171</f>
        <v>28205</v>
      </c>
      <c r="K1168" s="218">
        <f t="shared" si="99"/>
        <v>96.41086993676295</v>
      </c>
      <c r="L1168" s="278"/>
      <c r="M1168" s="343">
        <v>0</v>
      </c>
      <c r="N1168" s="39">
        <v>0</v>
      </c>
      <c r="O1168" s="218"/>
      <c r="P1168" s="278"/>
      <c r="Q1168" s="343">
        <f t="shared" si="102"/>
        <v>29255</v>
      </c>
      <c r="R1168" s="39">
        <f t="shared" si="102"/>
        <v>28205</v>
      </c>
      <c r="S1168" s="219">
        <f t="shared" si="100"/>
        <v>96.41086993676295</v>
      </c>
    </row>
    <row r="1169" spans="2:19" x14ac:dyDescent="0.2">
      <c r="B1169" s="78">
        <f t="shared" si="101"/>
        <v>596</v>
      </c>
      <c r="C1169" s="7"/>
      <c r="D1169" s="7"/>
      <c r="E1169" s="7"/>
      <c r="F1169" s="24" t="s">
        <v>172</v>
      </c>
      <c r="G1169" s="7">
        <v>610</v>
      </c>
      <c r="H1169" s="7" t="s">
        <v>143</v>
      </c>
      <c r="I1169" s="22">
        <v>10987</v>
      </c>
      <c r="J1169" s="22">
        <v>10987</v>
      </c>
      <c r="K1169" s="218">
        <f t="shared" si="99"/>
        <v>100</v>
      </c>
      <c r="L1169" s="278"/>
      <c r="M1169" s="284"/>
      <c r="N1169" s="22"/>
      <c r="O1169" s="218"/>
      <c r="P1169" s="278"/>
      <c r="Q1169" s="284">
        <f t="shared" si="102"/>
        <v>10987</v>
      </c>
      <c r="R1169" s="22">
        <f t="shared" si="102"/>
        <v>10987</v>
      </c>
      <c r="S1169" s="219">
        <f t="shared" si="100"/>
        <v>100</v>
      </c>
    </row>
    <row r="1170" spans="2:19" x14ac:dyDescent="0.2">
      <c r="B1170" s="78">
        <f t="shared" si="101"/>
        <v>597</v>
      </c>
      <c r="C1170" s="7"/>
      <c r="D1170" s="7"/>
      <c r="E1170" s="7"/>
      <c r="F1170" s="24" t="s">
        <v>172</v>
      </c>
      <c r="G1170" s="7">
        <v>620</v>
      </c>
      <c r="H1170" s="7" t="s">
        <v>136</v>
      </c>
      <c r="I1170" s="22">
        <v>3973</v>
      </c>
      <c r="J1170" s="22">
        <v>3973</v>
      </c>
      <c r="K1170" s="218">
        <f t="shared" si="99"/>
        <v>100</v>
      </c>
      <c r="L1170" s="278"/>
      <c r="M1170" s="284"/>
      <c r="N1170" s="22"/>
      <c r="O1170" s="218"/>
      <c r="P1170" s="278"/>
      <c r="Q1170" s="284">
        <f t="shared" si="102"/>
        <v>3973</v>
      </c>
      <c r="R1170" s="22">
        <f t="shared" si="102"/>
        <v>3973</v>
      </c>
      <c r="S1170" s="219">
        <f t="shared" si="100"/>
        <v>100</v>
      </c>
    </row>
    <row r="1171" spans="2:19" x14ac:dyDescent="0.2">
      <c r="B1171" s="78">
        <f t="shared" si="101"/>
        <v>598</v>
      </c>
      <c r="C1171" s="7"/>
      <c r="D1171" s="7"/>
      <c r="E1171" s="7"/>
      <c r="F1171" s="24" t="s">
        <v>172</v>
      </c>
      <c r="G1171" s="7">
        <v>630</v>
      </c>
      <c r="H1171" s="7" t="s">
        <v>133</v>
      </c>
      <c r="I1171" s="22">
        <f>SUM(I1172:I1174)</f>
        <v>14295</v>
      </c>
      <c r="J1171" s="22">
        <f>SUM(J1172:J1174)</f>
        <v>13245</v>
      </c>
      <c r="K1171" s="218">
        <f t="shared" si="99"/>
        <v>92.654774396642182</v>
      </c>
      <c r="L1171" s="278"/>
      <c r="M1171" s="284"/>
      <c r="N1171" s="22"/>
      <c r="O1171" s="218"/>
      <c r="P1171" s="278"/>
      <c r="Q1171" s="284">
        <f t="shared" si="102"/>
        <v>14295</v>
      </c>
      <c r="R1171" s="22">
        <f t="shared" si="102"/>
        <v>13245</v>
      </c>
      <c r="S1171" s="219">
        <f t="shared" si="100"/>
        <v>92.654774396642182</v>
      </c>
    </row>
    <row r="1172" spans="2:19" x14ac:dyDescent="0.2">
      <c r="B1172" s="78">
        <f t="shared" si="101"/>
        <v>599</v>
      </c>
      <c r="C1172" s="3"/>
      <c r="D1172" s="3"/>
      <c r="E1172" s="3"/>
      <c r="F1172" s="25" t="s">
        <v>172</v>
      </c>
      <c r="G1172" s="3">
        <v>633</v>
      </c>
      <c r="H1172" s="3" t="s">
        <v>137</v>
      </c>
      <c r="I1172" s="18">
        <v>12250</v>
      </c>
      <c r="J1172" s="18">
        <v>11200</v>
      </c>
      <c r="K1172" s="218">
        <f t="shared" si="99"/>
        <v>91.428571428571431</v>
      </c>
      <c r="L1172" s="279"/>
      <c r="M1172" s="285"/>
      <c r="N1172" s="18"/>
      <c r="O1172" s="218"/>
      <c r="P1172" s="279"/>
      <c r="Q1172" s="285">
        <f t="shared" si="102"/>
        <v>12250</v>
      </c>
      <c r="R1172" s="18">
        <f t="shared" si="102"/>
        <v>11200</v>
      </c>
      <c r="S1172" s="219">
        <f t="shared" si="100"/>
        <v>91.428571428571431</v>
      </c>
    </row>
    <row r="1173" spans="2:19" x14ac:dyDescent="0.2">
      <c r="B1173" s="78">
        <f t="shared" si="101"/>
        <v>600</v>
      </c>
      <c r="C1173" s="3"/>
      <c r="D1173" s="3"/>
      <c r="E1173" s="3"/>
      <c r="F1173" s="25" t="s">
        <v>172</v>
      </c>
      <c r="G1173" s="3">
        <v>635</v>
      </c>
      <c r="H1173" s="3" t="s">
        <v>145</v>
      </c>
      <c r="I1173" s="18">
        <v>1500</v>
      </c>
      <c r="J1173" s="18">
        <v>1500</v>
      </c>
      <c r="K1173" s="218">
        <f t="shared" si="99"/>
        <v>100</v>
      </c>
      <c r="L1173" s="279"/>
      <c r="M1173" s="285"/>
      <c r="N1173" s="18"/>
      <c r="O1173" s="218"/>
      <c r="P1173" s="279"/>
      <c r="Q1173" s="285">
        <f t="shared" si="102"/>
        <v>1500</v>
      </c>
      <c r="R1173" s="18">
        <f t="shared" si="102"/>
        <v>1500</v>
      </c>
      <c r="S1173" s="219">
        <f t="shared" si="100"/>
        <v>100</v>
      </c>
    </row>
    <row r="1174" spans="2:19" x14ac:dyDescent="0.2">
      <c r="B1174" s="78">
        <f t="shared" si="101"/>
        <v>601</v>
      </c>
      <c r="C1174" s="3"/>
      <c r="D1174" s="3"/>
      <c r="E1174" s="3"/>
      <c r="F1174" s="25" t="s">
        <v>172</v>
      </c>
      <c r="G1174" s="3">
        <v>637</v>
      </c>
      <c r="H1174" s="3" t="s">
        <v>134</v>
      </c>
      <c r="I1174" s="18">
        <v>545</v>
      </c>
      <c r="J1174" s="18">
        <v>545</v>
      </c>
      <c r="K1174" s="218">
        <f t="shared" si="99"/>
        <v>100</v>
      </c>
      <c r="L1174" s="279"/>
      <c r="M1174" s="285"/>
      <c r="N1174" s="18"/>
      <c r="O1174" s="218"/>
      <c r="P1174" s="279"/>
      <c r="Q1174" s="285">
        <f t="shared" si="102"/>
        <v>545</v>
      </c>
      <c r="R1174" s="18">
        <f t="shared" si="102"/>
        <v>545</v>
      </c>
      <c r="S1174" s="219">
        <f t="shared" si="100"/>
        <v>100</v>
      </c>
    </row>
    <row r="1175" spans="2:19" x14ac:dyDescent="0.2">
      <c r="B1175" s="78">
        <f t="shared" si="101"/>
        <v>602</v>
      </c>
      <c r="C1175" s="6"/>
      <c r="D1175" s="6"/>
      <c r="E1175" s="6" t="s">
        <v>94</v>
      </c>
      <c r="F1175" s="28"/>
      <c r="G1175" s="6"/>
      <c r="H1175" s="6" t="s">
        <v>211</v>
      </c>
      <c r="I1175" s="39">
        <f>I1176+I1177+I1178</f>
        <v>45888</v>
      </c>
      <c r="J1175" s="39">
        <f>J1176+J1177+J1178</f>
        <v>46300</v>
      </c>
      <c r="K1175" s="218">
        <f t="shared" si="99"/>
        <v>100.89783821478382</v>
      </c>
      <c r="L1175" s="278"/>
      <c r="M1175" s="343">
        <v>0</v>
      </c>
      <c r="N1175" s="39">
        <v>0</v>
      </c>
      <c r="O1175" s="218"/>
      <c r="P1175" s="278"/>
      <c r="Q1175" s="343">
        <f t="shared" si="102"/>
        <v>45888</v>
      </c>
      <c r="R1175" s="39">
        <f t="shared" si="102"/>
        <v>46300</v>
      </c>
      <c r="S1175" s="219">
        <f t="shared" si="100"/>
        <v>100.89783821478382</v>
      </c>
    </row>
    <row r="1176" spans="2:19" x14ac:dyDescent="0.2">
      <c r="B1176" s="78">
        <f t="shared" si="101"/>
        <v>603</v>
      </c>
      <c r="C1176" s="7"/>
      <c r="D1176" s="7"/>
      <c r="E1176" s="7"/>
      <c r="F1176" s="24" t="s">
        <v>172</v>
      </c>
      <c r="G1176" s="7">
        <v>610</v>
      </c>
      <c r="H1176" s="7" t="s">
        <v>143</v>
      </c>
      <c r="I1176" s="22">
        <v>16846</v>
      </c>
      <c r="J1176" s="22">
        <v>16846</v>
      </c>
      <c r="K1176" s="218">
        <f t="shared" si="99"/>
        <v>100</v>
      </c>
      <c r="L1176" s="278"/>
      <c r="M1176" s="284"/>
      <c r="N1176" s="22"/>
      <c r="O1176" s="218"/>
      <c r="P1176" s="278"/>
      <c r="Q1176" s="284">
        <f t="shared" si="102"/>
        <v>16846</v>
      </c>
      <c r="R1176" s="22">
        <f t="shared" si="102"/>
        <v>16846</v>
      </c>
      <c r="S1176" s="219">
        <f t="shared" si="100"/>
        <v>100</v>
      </c>
    </row>
    <row r="1177" spans="2:19" x14ac:dyDescent="0.2">
      <c r="B1177" s="78">
        <f t="shared" si="101"/>
        <v>604</v>
      </c>
      <c r="C1177" s="7"/>
      <c r="D1177" s="7"/>
      <c r="E1177" s="7"/>
      <c r="F1177" s="24" t="s">
        <v>172</v>
      </c>
      <c r="G1177" s="7">
        <v>620</v>
      </c>
      <c r="H1177" s="7" t="s">
        <v>136</v>
      </c>
      <c r="I1177" s="22">
        <v>6152</v>
      </c>
      <c r="J1177" s="22">
        <v>6152</v>
      </c>
      <c r="K1177" s="218">
        <f t="shared" si="99"/>
        <v>100</v>
      </c>
      <c r="L1177" s="278"/>
      <c r="M1177" s="284"/>
      <c r="N1177" s="22"/>
      <c r="O1177" s="218"/>
      <c r="P1177" s="278"/>
      <c r="Q1177" s="284">
        <f t="shared" si="102"/>
        <v>6152</v>
      </c>
      <c r="R1177" s="22">
        <f t="shared" si="102"/>
        <v>6152</v>
      </c>
      <c r="S1177" s="219">
        <f t="shared" si="100"/>
        <v>100</v>
      </c>
    </row>
    <row r="1178" spans="2:19" x14ac:dyDescent="0.2">
      <c r="B1178" s="78">
        <f t="shared" si="101"/>
        <v>605</v>
      </c>
      <c r="C1178" s="7"/>
      <c r="D1178" s="7"/>
      <c r="E1178" s="7"/>
      <c r="F1178" s="24" t="s">
        <v>172</v>
      </c>
      <c r="G1178" s="7">
        <v>630</v>
      </c>
      <c r="H1178" s="7" t="s">
        <v>133</v>
      </c>
      <c r="I1178" s="22">
        <f>SUM(I1179:I1181)</f>
        <v>22890</v>
      </c>
      <c r="J1178" s="22">
        <f>SUM(J1179:J1181)</f>
        <v>23302</v>
      </c>
      <c r="K1178" s="218">
        <f t="shared" si="99"/>
        <v>101.79991262560071</v>
      </c>
      <c r="L1178" s="278"/>
      <c r="M1178" s="284"/>
      <c r="N1178" s="22"/>
      <c r="O1178" s="218"/>
      <c r="P1178" s="278"/>
      <c r="Q1178" s="284">
        <f t="shared" si="102"/>
        <v>22890</v>
      </c>
      <c r="R1178" s="22">
        <f t="shared" si="102"/>
        <v>23302</v>
      </c>
      <c r="S1178" s="219">
        <f t="shared" si="100"/>
        <v>101.79991262560071</v>
      </c>
    </row>
    <row r="1179" spans="2:19" x14ac:dyDescent="0.2">
      <c r="B1179" s="78">
        <f t="shared" si="101"/>
        <v>606</v>
      </c>
      <c r="C1179" s="3"/>
      <c r="D1179" s="3"/>
      <c r="E1179" s="3"/>
      <c r="F1179" s="25" t="s">
        <v>172</v>
      </c>
      <c r="G1179" s="3">
        <v>633</v>
      </c>
      <c r="H1179" s="3" t="s">
        <v>137</v>
      </c>
      <c r="I1179" s="18">
        <f>21140+1150</f>
        <v>22290</v>
      </c>
      <c r="J1179" s="18">
        <v>22702</v>
      </c>
      <c r="K1179" s="218">
        <f t="shared" si="99"/>
        <v>101.84836249439211</v>
      </c>
      <c r="L1179" s="279"/>
      <c r="M1179" s="285"/>
      <c r="N1179" s="18"/>
      <c r="O1179" s="218"/>
      <c r="P1179" s="279"/>
      <c r="Q1179" s="285">
        <f t="shared" si="102"/>
        <v>22290</v>
      </c>
      <c r="R1179" s="18">
        <f t="shared" si="102"/>
        <v>22702</v>
      </c>
      <c r="S1179" s="219">
        <f t="shared" si="100"/>
        <v>101.84836249439211</v>
      </c>
    </row>
    <row r="1180" spans="2:19" x14ac:dyDescent="0.2">
      <c r="B1180" s="78">
        <f t="shared" si="101"/>
        <v>607</v>
      </c>
      <c r="C1180" s="3"/>
      <c r="D1180" s="3"/>
      <c r="E1180" s="3"/>
      <c r="F1180" s="25" t="s">
        <v>172</v>
      </c>
      <c r="G1180" s="3">
        <v>635</v>
      </c>
      <c r="H1180" s="3" t="s">
        <v>145</v>
      </c>
      <c r="I1180" s="18">
        <f>1300-1150</f>
        <v>150</v>
      </c>
      <c r="J1180" s="18">
        <v>150</v>
      </c>
      <c r="K1180" s="218">
        <f t="shared" si="99"/>
        <v>100</v>
      </c>
      <c r="L1180" s="279"/>
      <c r="M1180" s="285"/>
      <c r="N1180" s="18"/>
      <c r="O1180" s="218"/>
      <c r="P1180" s="279"/>
      <c r="Q1180" s="285">
        <f t="shared" si="102"/>
        <v>150</v>
      </c>
      <c r="R1180" s="18">
        <f t="shared" si="102"/>
        <v>150</v>
      </c>
      <c r="S1180" s="219">
        <f t="shared" si="100"/>
        <v>100</v>
      </c>
    </row>
    <row r="1181" spans="2:19" x14ac:dyDescent="0.2">
      <c r="B1181" s="78">
        <f t="shared" si="101"/>
        <v>608</v>
      </c>
      <c r="C1181" s="3"/>
      <c r="D1181" s="3"/>
      <c r="E1181" s="3"/>
      <c r="F1181" s="25" t="s">
        <v>172</v>
      </c>
      <c r="G1181" s="3">
        <v>637</v>
      </c>
      <c r="H1181" s="3" t="s">
        <v>134</v>
      </c>
      <c r="I1181" s="18">
        <v>450</v>
      </c>
      <c r="J1181" s="18">
        <v>450</v>
      </c>
      <c r="K1181" s="218">
        <f t="shared" si="99"/>
        <v>100</v>
      </c>
      <c r="L1181" s="279"/>
      <c r="M1181" s="285"/>
      <c r="N1181" s="18"/>
      <c r="O1181" s="218"/>
      <c r="P1181" s="279"/>
      <c r="Q1181" s="285">
        <f t="shared" si="102"/>
        <v>450</v>
      </c>
      <c r="R1181" s="18">
        <f t="shared" si="102"/>
        <v>450</v>
      </c>
      <c r="S1181" s="219">
        <f t="shared" si="100"/>
        <v>100</v>
      </c>
    </row>
    <row r="1182" spans="2:19" x14ac:dyDescent="0.2">
      <c r="B1182" s="78">
        <f t="shared" si="101"/>
        <v>609</v>
      </c>
      <c r="C1182" s="6"/>
      <c r="D1182" s="6"/>
      <c r="E1182" s="6" t="s">
        <v>95</v>
      </c>
      <c r="F1182" s="28"/>
      <c r="G1182" s="6"/>
      <c r="H1182" s="6" t="s">
        <v>96</v>
      </c>
      <c r="I1182" s="39">
        <f>I1183+I1184+I1185+I1190</f>
        <v>86242</v>
      </c>
      <c r="J1182" s="39">
        <f>J1183+J1184+J1185+J1190</f>
        <v>81734</v>
      </c>
      <c r="K1182" s="218">
        <f t="shared" si="99"/>
        <v>94.772848496092394</v>
      </c>
      <c r="L1182" s="278"/>
      <c r="M1182" s="343">
        <f>M1191</f>
        <v>37230</v>
      </c>
      <c r="N1182" s="39">
        <f>N1191</f>
        <v>25313</v>
      </c>
      <c r="O1182" s="218">
        <f t="shared" ref="O1182:O1193" si="103">N1182/M1182*100</f>
        <v>67.990867579908681</v>
      </c>
      <c r="P1182" s="278"/>
      <c r="Q1182" s="343">
        <f t="shared" si="102"/>
        <v>123472</v>
      </c>
      <c r="R1182" s="39">
        <f t="shared" si="102"/>
        <v>107047</v>
      </c>
      <c r="S1182" s="219">
        <f t="shared" si="100"/>
        <v>86.697388881689776</v>
      </c>
    </row>
    <row r="1183" spans="2:19" x14ac:dyDescent="0.2">
      <c r="B1183" s="78">
        <f t="shared" si="101"/>
        <v>610</v>
      </c>
      <c r="C1183" s="7"/>
      <c r="D1183" s="7"/>
      <c r="E1183" s="7"/>
      <c r="F1183" s="24" t="s">
        <v>172</v>
      </c>
      <c r="G1183" s="7">
        <v>610</v>
      </c>
      <c r="H1183" s="7" t="s">
        <v>143</v>
      </c>
      <c r="I1183" s="22">
        <f>33493+740</f>
        <v>34233</v>
      </c>
      <c r="J1183" s="22">
        <v>34233</v>
      </c>
      <c r="K1183" s="218">
        <f t="shared" si="99"/>
        <v>100</v>
      </c>
      <c r="L1183" s="278"/>
      <c r="M1183" s="284"/>
      <c r="N1183" s="22"/>
      <c r="O1183" s="218"/>
      <c r="P1183" s="278"/>
      <c r="Q1183" s="284">
        <f t="shared" si="102"/>
        <v>34233</v>
      </c>
      <c r="R1183" s="22">
        <f t="shared" si="102"/>
        <v>34233</v>
      </c>
      <c r="S1183" s="219">
        <f t="shared" si="100"/>
        <v>100</v>
      </c>
    </row>
    <row r="1184" spans="2:19" x14ac:dyDescent="0.2">
      <c r="B1184" s="78">
        <f t="shared" si="101"/>
        <v>611</v>
      </c>
      <c r="C1184" s="7"/>
      <c r="D1184" s="7"/>
      <c r="E1184" s="7"/>
      <c r="F1184" s="24" t="s">
        <v>172</v>
      </c>
      <c r="G1184" s="7">
        <v>620</v>
      </c>
      <c r="H1184" s="7" t="s">
        <v>136</v>
      </c>
      <c r="I1184" s="22">
        <f>12272+260</f>
        <v>12532</v>
      </c>
      <c r="J1184" s="22">
        <v>12532</v>
      </c>
      <c r="K1184" s="218">
        <f t="shared" si="99"/>
        <v>100</v>
      </c>
      <c r="L1184" s="278"/>
      <c r="M1184" s="284"/>
      <c r="N1184" s="22"/>
      <c r="O1184" s="218"/>
      <c r="P1184" s="278"/>
      <c r="Q1184" s="284">
        <f t="shared" si="102"/>
        <v>12532</v>
      </c>
      <c r="R1184" s="22">
        <f t="shared" si="102"/>
        <v>12532</v>
      </c>
      <c r="S1184" s="219">
        <f t="shared" si="100"/>
        <v>100</v>
      </c>
    </row>
    <row r="1185" spans="2:19" x14ac:dyDescent="0.2">
      <c r="B1185" s="78">
        <f t="shared" si="101"/>
        <v>612</v>
      </c>
      <c r="C1185" s="7"/>
      <c r="D1185" s="7"/>
      <c r="E1185" s="7"/>
      <c r="F1185" s="24" t="s">
        <v>172</v>
      </c>
      <c r="G1185" s="7">
        <v>630</v>
      </c>
      <c r="H1185" s="7" t="s">
        <v>133</v>
      </c>
      <c r="I1185" s="22">
        <f>SUM(I1186:I1189)</f>
        <v>39319</v>
      </c>
      <c r="J1185" s="22">
        <f>SUM(J1186:J1189)</f>
        <v>34811</v>
      </c>
      <c r="K1185" s="218">
        <f t="shared" si="99"/>
        <v>88.534805056079762</v>
      </c>
      <c r="L1185" s="278"/>
      <c r="M1185" s="284"/>
      <c r="N1185" s="22"/>
      <c r="O1185" s="218"/>
      <c r="P1185" s="278"/>
      <c r="Q1185" s="284">
        <f t="shared" si="102"/>
        <v>39319</v>
      </c>
      <c r="R1185" s="22">
        <f t="shared" si="102"/>
        <v>34811</v>
      </c>
      <c r="S1185" s="219">
        <f t="shared" si="100"/>
        <v>88.534805056079762</v>
      </c>
    </row>
    <row r="1186" spans="2:19" x14ac:dyDescent="0.2">
      <c r="B1186" s="78">
        <f t="shared" si="101"/>
        <v>613</v>
      </c>
      <c r="C1186" s="3"/>
      <c r="D1186" s="3"/>
      <c r="E1186" s="3"/>
      <c r="F1186" s="25" t="s">
        <v>172</v>
      </c>
      <c r="G1186" s="3">
        <v>632</v>
      </c>
      <c r="H1186" s="3" t="s">
        <v>146</v>
      </c>
      <c r="I1186" s="18">
        <v>600</v>
      </c>
      <c r="J1186" s="18">
        <v>600</v>
      </c>
      <c r="K1186" s="218">
        <f t="shared" si="99"/>
        <v>100</v>
      </c>
      <c r="L1186" s="279"/>
      <c r="M1186" s="285"/>
      <c r="N1186" s="18"/>
      <c r="O1186" s="218"/>
      <c r="P1186" s="279"/>
      <c r="Q1186" s="285">
        <f t="shared" si="102"/>
        <v>600</v>
      </c>
      <c r="R1186" s="18">
        <f t="shared" si="102"/>
        <v>600</v>
      </c>
      <c r="S1186" s="219">
        <f t="shared" si="100"/>
        <v>100</v>
      </c>
    </row>
    <row r="1187" spans="2:19" x14ac:dyDescent="0.2">
      <c r="B1187" s="78">
        <f t="shared" si="101"/>
        <v>614</v>
      </c>
      <c r="C1187" s="3"/>
      <c r="D1187" s="3"/>
      <c r="E1187" s="3"/>
      <c r="F1187" s="25" t="s">
        <v>172</v>
      </c>
      <c r="G1187" s="3">
        <v>633</v>
      </c>
      <c r="H1187" s="3" t="s">
        <v>137</v>
      </c>
      <c r="I1187" s="18">
        <f>33190+342+2181</f>
        <v>35713</v>
      </c>
      <c r="J1187" s="18">
        <v>31208</v>
      </c>
      <c r="K1187" s="218">
        <f t="shared" si="99"/>
        <v>87.385545879651673</v>
      </c>
      <c r="L1187" s="279"/>
      <c r="M1187" s="285"/>
      <c r="N1187" s="18"/>
      <c r="O1187" s="218"/>
      <c r="P1187" s="279"/>
      <c r="Q1187" s="285">
        <f t="shared" si="102"/>
        <v>35713</v>
      </c>
      <c r="R1187" s="18">
        <f t="shared" si="102"/>
        <v>31208</v>
      </c>
      <c r="S1187" s="219">
        <f t="shared" si="100"/>
        <v>87.385545879651673</v>
      </c>
    </row>
    <row r="1188" spans="2:19" x14ac:dyDescent="0.2">
      <c r="B1188" s="78">
        <f t="shared" si="101"/>
        <v>615</v>
      </c>
      <c r="C1188" s="3"/>
      <c r="D1188" s="3"/>
      <c r="E1188" s="3"/>
      <c r="F1188" s="25" t="s">
        <v>172</v>
      </c>
      <c r="G1188" s="3">
        <v>635</v>
      </c>
      <c r="H1188" s="3" t="s">
        <v>145</v>
      </c>
      <c r="I1188" s="18">
        <f>1200-573-381</f>
        <v>246</v>
      </c>
      <c r="J1188" s="18">
        <v>243</v>
      </c>
      <c r="K1188" s="218">
        <f t="shared" si="99"/>
        <v>98.780487804878049</v>
      </c>
      <c r="L1188" s="279"/>
      <c r="M1188" s="285"/>
      <c r="N1188" s="18"/>
      <c r="O1188" s="218"/>
      <c r="P1188" s="279"/>
      <c r="Q1188" s="285">
        <f t="shared" si="102"/>
        <v>246</v>
      </c>
      <c r="R1188" s="18">
        <f t="shared" si="102"/>
        <v>243</v>
      </c>
      <c r="S1188" s="219">
        <f t="shared" si="100"/>
        <v>98.780487804878049</v>
      </c>
    </row>
    <row r="1189" spans="2:19" x14ac:dyDescent="0.2">
      <c r="B1189" s="78">
        <f t="shared" si="101"/>
        <v>616</v>
      </c>
      <c r="C1189" s="3"/>
      <c r="D1189" s="3"/>
      <c r="E1189" s="3"/>
      <c r="F1189" s="25" t="s">
        <v>172</v>
      </c>
      <c r="G1189" s="3">
        <v>637</v>
      </c>
      <c r="H1189" s="3" t="s">
        <v>134</v>
      </c>
      <c r="I1189" s="18">
        <v>2760</v>
      </c>
      <c r="J1189" s="18">
        <v>2760</v>
      </c>
      <c r="K1189" s="218">
        <f t="shared" si="99"/>
        <v>100</v>
      </c>
      <c r="L1189" s="279"/>
      <c r="M1189" s="285"/>
      <c r="N1189" s="18"/>
      <c r="O1189" s="218"/>
      <c r="P1189" s="279"/>
      <c r="Q1189" s="285">
        <f t="shared" si="102"/>
        <v>2760</v>
      </c>
      <c r="R1189" s="18">
        <f t="shared" si="102"/>
        <v>2760</v>
      </c>
      <c r="S1189" s="219">
        <f t="shared" si="100"/>
        <v>100</v>
      </c>
    </row>
    <row r="1190" spans="2:19" x14ac:dyDescent="0.2">
      <c r="B1190" s="78">
        <f t="shared" si="101"/>
        <v>617</v>
      </c>
      <c r="C1190" s="3"/>
      <c r="D1190" s="3"/>
      <c r="E1190" s="3"/>
      <c r="F1190" s="24" t="s">
        <v>172</v>
      </c>
      <c r="G1190" s="7">
        <v>640</v>
      </c>
      <c r="H1190" s="7" t="s">
        <v>141</v>
      </c>
      <c r="I1190" s="22">
        <v>158</v>
      </c>
      <c r="J1190" s="22">
        <v>158</v>
      </c>
      <c r="K1190" s="218">
        <f t="shared" si="99"/>
        <v>100</v>
      </c>
      <c r="L1190" s="278"/>
      <c r="M1190" s="284"/>
      <c r="N1190" s="22"/>
      <c r="O1190" s="218"/>
      <c r="P1190" s="278"/>
      <c r="Q1190" s="284">
        <f t="shared" si="102"/>
        <v>158</v>
      </c>
      <c r="R1190" s="22">
        <f t="shared" si="102"/>
        <v>158</v>
      </c>
      <c r="S1190" s="219">
        <f t="shared" si="100"/>
        <v>100</v>
      </c>
    </row>
    <row r="1191" spans="2:19" x14ac:dyDescent="0.2">
      <c r="B1191" s="78">
        <f t="shared" si="101"/>
        <v>618</v>
      </c>
      <c r="C1191" s="3"/>
      <c r="D1191" s="3"/>
      <c r="E1191" s="3"/>
      <c r="F1191" s="24" t="s">
        <v>172</v>
      </c>
      <c r="G1191" s="7">
        <v>710</v>
      </c>
      <c r="H1191" s="7" t="s">
        <v>188</v>
      </c>
      <c r="I1191" s="22"/>
      <c r="J1191" s="22"/>
      <c r="K1191" s="218"/>
      <c r="L1191" s="278"/>
      <c r="M1191" s="284">
        <f>M1192</f>
        <v>37230</v>
      </c>
      <c r="N1191" s="22">
        <f>N1192</f>
        <v>25313</v>
      </c>
      <c r="O1191" s="218">
        <f t="shared" si="103"/>
        <v>67.990867579908681</v>
      </c>
      <c r="P1191" s="278"/>
      <c r="Q1191" s="284">
        <f t="shared" si="102"/>
        <v>37230</v>
      </c>
      <c r="R1191" s="22">
        <f t="shared" si="102"/>
        <v>25313</v>
      </c>
      <c r="S1191" s="219">
        <f t="shared" si="100"/>
        <v>67.990867579908681</v>
      </c>
    </row>
    <row r="1192" spans="2:19" x14ac:dyDescent="0.2">
      <c r="B1192" s="78">
        <f t="shared" si="101"/>
        <v>619</v>
      </c>
      <c r="C1192" s="3"/>
      <c r="D1192" s="3"/>
      <c r="E1192" s="3"/>
      <c r="F1192" s="25" t="s">
        <v>172</v>
      </c>
      <c r="G1192" s="3">
        <v>717</v>
      </c>
      <c r="H1192" s="3" t="s">
        <v>198</v>
      </c>
      <c r="I1192" s="18"/>
      <c r="J1192" s="18"/>
      <c r="K1192" s="218"/>
      <c r="L1192" s="279"/>
      <c r="M1192" s="285">
        <f>SUM(M1193:M1193)</f>
        <v>37230</v>
      </c>
      <c r="N1192" s="18">
        <f>SUM(N1193:N1193)</f>
        <v>25313</v>
      </c>
      <c r="O1192" s="218">
        <f t="shared" si="103"/>
        <v>67.990867579908681</v>
      </c>
      <c r="P1192" s="279"/>
      <c r="Q1192" s="285">
        <f t="shared" si="102"/>
        <v>37230</v>
      </c>
      <c r="R1192" s="18">
        <f t="shared" si="102"/>
        <v>25313</v>
      </c>
      <c r="S1192" s="219">
        <f t="shared" si="100"/>
        <v>67.990867579908681</v>
      </c>
    </row>
    <row r="1193" spans="2:19" x14ac:dyDescent="0.2">
      <c r="B1193" s="78">
        <f t="shared" si="101"/>
        <v>620</v>
      </c>
      <c r="C1193" s="3"/>
      <c r="D1193" s="3"/>
      <c r="E1193" s="3"/>
      <c r="F1193" s="26"/>
      <c r="G1193" s="4"/>
      <c r="H1193" s="4" t="s">
        <v>612</v>
      </c>
      <c r="I1193" s="20"/>
      <c r="J1193" s="20"/>
      <c r="K1193" s="218"/>
      <c r="L1193" s="280"/>
      <c r="M1193" s="341">
        <v>37230</v>
      </c>
      <c r="N1193" s="21">
        <v>25313</v>
      </c>
      <c r="O1193" s="218">
        <f t="shared" si="103"/>
        <v>67.990867579908681</v>
      </c>
      <c r="P1193" s="280"/>
      <c r="Q1193" s="286">
        <f t="shared" si="102"/>
        <v>37230</v>
      </c>
      <c r="R1193" s="20">
        <f t="shared" si="102"/>
        <v>25313</v>
      </c>
      <c r="S1193" s="219">
        <f t="shared" si="100"/>
        <v>67.990867579908681</v>
      </c>
    </row>
    <row r="1194" spans="2:19" ht="15" x14ac:dyDescent="0.25">
      <c r="B1194" s="78">
        <f t="shared" si="101"/>
        <v>621</v>
      </c>
      <c r="C1194" s="10"/>
      <c r="D1194" s="10"/>
      <c r="E1194" s="10">
        <v>6</v>
      </c>
      <c r="F1194" s="27"/>
      <c r="G1194" s="10"/>
      <c r="H1194" s="10" t="s">
        <v>12</v>
      </c>
      <c r="I1194" s="37">
        <f>I1195+I1196+I1197+I1203+I1204+I1205+I1210</f>
        <v>175491</v>
      </c>
      <c r="J1194" s="37">
        <f>J1195+J1196+J1197+J1203+J1204+J1205+J1210+J1211+J1202</f>
        <v>187430</v>
      </c>
      <c r="K1194" s="218">
        <f t="shared" si="99"/>
        <v>106.80319788479183</v>
      </c>
      <c r="L1194" s="295"/>
      <c r="M1194" s="299">
        <v>0</v>
      </c>
      <c r="N1194" s="37">
        <v>0</v>
      </c>
      <c r="O1194" s="218"/>
      <c r="P1194" s="295"/>
      <c r="Q1194" s="299">
        <f t="shared" si="102"/>
        <v>175491</v>
      </c>
      <c r="R1194" s="37">
        <f t="shared" si="102"/>
        <v>187430</v>
      </c>
      <c r="S1194" s="219">
        <f t="shared" si="100"/>
        <v>106.80319788479183</v>
      </c>
    </row>
    <row r="1195" spans="2:19" x14ac:dyDescent="0.2">
      <c r="B1195" s="78">
        <f t="shared" si="101"/>
        <v>622</v>
      </c>
      <c r="C1195" s="7"/>
      <c r="D1195" s="7"/>
      <c r="E1195" s="7"/>
      <c r="F1195" s="24" t="s">
        <v>87</v>
      </c>
      <c r="G1195" s="7">
        <v>610</v>
      </c>
      <c r="H1195" s="7" t="s">
        <v>143</v>
      </c>
      <c r="I1195" s="22">
        <f>27947+699</f>
        <v>28646</v>
      </c>
      <c r="J1195" s="22">
        <v>28646</v>
      </c>
      <c r="K1195" s="218">
        <f t="shared" si="99"/>
        <v>100</v>
      </c>
      <c r="L1195" s="278"/>
      <c r="M1195" s="284"/>
      <c r="N1195" s="22"/>
      <c r="O1195" s="218"/>
      <c r="P1195" s="278"/>
      <c r="Q1195" s="284">
        <f t="shared" si="102"/>
        <v>28646</v>
      </c>
      <c r="R1195" s="22">
        <f t="shared" si="102"/>
        <v>28646</v>
      </c>
      <c r="S1195" s="219">
        <f t="shared" si="100"/>
        <v>100</v>
      </c>
    </row>
    <row r="1196" spans="2:19" x14ac:dyDescent="0.2">
      <c r="B1196" s="78">
        <f t="shared" si="101"/>
        <v>623</v>
      </c>
      <c r="C1196" s="7"/>
      <c r="D1196" s="7"/>
      <c r="E1196" s="7"/>
      <c r="F1196" s="24" t="s">
        <v>87</v>
      </c>
      <c r="G1196" s="7">
        <v>620</v>
      </c>
      <c r="H1196" s="7" t="s">
        <v>136</v>
      </c>
      <c r="I1196" s="22">
        <f>10397-586</f>
        <v>9811</v>
      </c>
      <c r="J1196" s="22">
        <v>9811</v>
      </c>
      <c r="K1196" s="218">
        <f t="shared" si="99"/>
        <v>100</v>
      </c>
      <c r="L1196" s="278"/>
      <c r="M1196" s="284"/>
      <c r="N1196" s="22"/>
      <c r="O1196" s="218"/>
      <c r="P1196" s="278"/>
      <c r="Q1196" s="284">
        <f t="shared" si="102"/>
        <v>9811</v>
      </c>
      <c r="R1196" s="22">
        <f t="shared" si="102"/>
        <v>9811</v>
      </c>
      <c r="S1196" s="219">
        <f t="shared" si="100"/>
        <v>100</v>
      </c>
    </row>
    <row r="1197" spans="2:19" x14ac:dyDescent="0.2">
      <c r="B1197" s="78">
        <f t="shared" si="101"/>
        <v>624</v>
      </c>
      <c r="C1197" s="7"/>
      <c r="D1197" s="7"/>
      <c r="E1197" s="7"/>
      <c r="F1197" s="24" t="s">
        <v>87</v>
      </c>
      <c r="G1197" s="7">
        <v>630</v>
      </c>
      <c r="H1197" s="7" t="s">
        <v>133</v>
      </c>
      <c r="I1197" s="22">
        <f>SUM(I1198:I1201)</f>
        <v>48953</v>
      </c>
      <c r="J1197" s="22">
        <f>SUM(J1198:J1201)</f>
        <v>48953</v>
      </c>
      <c r="K1197" s="218">
        <f t="shared" si="99"/>
        <v>100</v>
      </c>
      <c r="L1197" s="278"/>
      <c r="M1197" s="284"/>
      <c r="N1197" s="22"/>
      <c r="O1197" s="218"/>
      <c r="P1197" s="278"/>
      <c r="Q1197" s="284">
        <f t="shared" si="102"/>
        <v>48953</v>
      </c>
      <c r="R1197" s="22">
        <f t="shared" si="102"/>
        <v>48953</v>
      </c>
      <c r="S1197" s="219">
        <f t="shared" si="100"/>
        <v>100</v>
      </c>
    </row>
    <row r="1198" spans="2:19" x14ac:dyDescent="0.2">
      <c r="B1198" s="78">
        <f t="shared" si="101"/>
        <v>625</v>
      </c>
      <c r="C1198" s="3"/>
      <c r="D1198" s="3"/>
      <c r="E1198" s="3"/>
      <c r="F1198" s="25" t="s">
        <v>87</v>
      </c>
      <c r="G1198" s="3">
        <v>632</v>
      </c>
      <c r="H1198" s="3" t="s">
        <v>146</v>
      </c>
      <c r="I1198" s="18">
        <f>5046-186+950</f>
        <v>5810</v>
      </c>
      <c r="J1198" s="18">
        <v>5810</v>
      </c>
      <c r="K1198" s="218">
        <f t="shared" si="99"/>
        <v>100</v>
      </c>
      <c r="L1198" s="279"/>
      <c r="M1198" s="285"/>
      <c r="N1198" s="18"/>
      <c r="O1198" s="218"/>
      <c r="P1198" s="279"/>
      <c r="Q1198" s="285">
        <f t="shared" si="102"/>
        <v>5810</v>
      </c>
      <c r="R1198" s="18">
        <f t="shared" si="102"/>
        <v>5810</v>
      </c>
      <c r="S1198" s="219">
        <f t="shared" si="100"/>
        <v>100</v>
      </c>
    </row>
    <row r="1199" spans="2:19" x14ac:dyDescent="0.2">
      <c r="B1199" s="78">
        <f t="shared" si="101"/>
        <v>626</v>
      </c>
      <c r="C1199" s="3"/>
      <c r="D1199" s="3"/>
      <c r="E1199" s="3"/>
      <c r="F1199" s="25" t="s">
        <v>87</v>
      </c>
      <c r="G1199" s="3">
        <v>633</v>
      </c>
      <c r="H1199" s="3" t="s">
        <v>137</v>
      </c>
      <c r="I1199" s="18">
        <v>40841</v>
      </c>
      <c r="J1199" s="18">
        <v>40841</v>
      </c>
      <c r="K1199" s="218">
        <f t="shared" si="99"/>
        <v>100</v>
      </c>
      <c r="L1199" s="279"/>
      <c r="M1199" s="285"/>
      <c r="N1199" s="18"/>
      <c r="O1199" s="218"/>
      <c r="P1199" s="279"/>
      <c r="Q1199" s="285">
        <f t="shared" si="102"/>
        <v>40841</v>
      </c>
      <c r="R1199" s="18">
        <f t="shared" si="102"/>
        <v>40841</v>
      </c>
      <c r="S1199" s="219">
        <f t="shared" si="100"/>
        <v>100</v>
      </c>
    </row>
    <row r="1200" spans="2:19" x14ac:dyDescent="0.2">
      <c r="B1200" s="78">
        <f t="shared" si="101"/>
        <v>627</v>
      </c>
      <c r="C1200" s="3"/>
      <c r="D1200" s="3"/>
      <c r="E1200" s="3"/>
      <c r="F1200" s="25" t="s">
        <v>87</v>
      </c>
      <c r="G1200" s="3">
        <v>635</v>
      </c>
      <c r="H1200" s="3" t="s">
        <v>145</v>
      </c>
      <c r="I1200" s="18">
        <f>216+186</f>
        <v>402</v>
      </c>
      <c r="J1200" s="18">
        <v>402</v>
      </c>
      <c r="K1200" s="218">
        <f t="shared" si="99"/>
        <v>100</v>
      </c>
      <c r="L1200" s="279"/>
      <c r="M1200" s="285"/>
      <c r="N1200" s="18"/>
      <c r="O1200" s="218"/>
      <c r="P1200" s="279"/>
      <c r="Q1200" s="285">
        <f t="shared" si="102"/>
        <v>402</v>
      </c>
      <c r="R1200" s="18">
        <f t="shared" si="102"/>
        <v>402</v>
      </c>
      <c r="S1200" s="219">
        <f t="shared" si="100"/>
        <v>100</v>
      </c>
    </row>
    <row r="1201" spans="2:19" x14ac:dyDescent="0.2">
      <c r="B1201" s="78">
        <f t="shared" si="101"/>
        <v>628</v>
      </c>
      <c r="C1201" s="3"/>
      <c r="D1201" s="3"/>
      <c r="E1201" s="3"/>
      <c r="F1201" s="25" t="s">
        <v>87</v>
      </c>
      <c r="G1201" s="3">
        <v>637</v>
      </c>
      <c r="H1201" s="3" t="s">
        <v>134</v>
      </c>
      <c r="I1201" s="18">
        <f>1200+700</f>
        <v>1900</v>
      </c>
      <c r="J1201" s="18">
        <v>1900</v>
      </c>
      <c r="K1201" s="218">
        <f t="shared" si="99"/>
        <v>100</v>
      </c>
      <c r="L1201" s="279"/>
      <c r="M1201" s="285"/>
      <c r="N1201" s="18"/>
      <c r="O1201" s="218"/>
      <c r="P1201" s="279"/>
      <c r="Q1201" s="285">
        <f t="shared" si="102"/>
        <v>1900</v>
      </c>
      <c r="R1201" s="18">
        <f t="shared" si="102"/>
        <v>1900</v>
      </c>
      <c r="S1201" s="219">
        <f t="shared" si="100"/>
        <v>100</v>
      </c>
    </row>
    <row r="1202" spans="2:19" x14ac:dyDescent="0.2">
      <c r="B1202" s="78">
        <f t="shared" si="101"/>
        <v>629</v>
      </c>
      <c r="C1202" s="3"/>
      <c r="D1202" s="3"/>
      <c r="E1202" s="3"/>
      <c r="F1202" s="24" t="s">
        <v>55</v>
      </c>
      <c r="G1202" s="7">
        <v>642</v>
      </c>
      <c r="H1202" s="7" t="s">
        <v>695</v>
      </c>
      <c r="I1202" s="22">
        <v>0</v>
      </c>
      <c r="J1202" s="22">
        <v>5970</v>
      </c>
      <c r="K1202" s="218"/>
      <c r="L1202" s="278"/>
      <c r="M1202" s="284"/>
      <c r="N1202" s="22"/>
      <c r="O1202" s="218"/>
      <c r="P1202" s="278"/>
      <c r="Q1202" s="284"/>
      <c r="R1202" s="22">
        <f t="shared" si="102"/>
        <v>5970</v>
      </c>
      <c r="S1202" s="219"/>
    </row>
    <row r="1203" spans="2:19" x14ac:dyDescent="0.2">
      <c r="B1203" s="78">
        <f t="shared" si="101"/>
        <v>630</v>
      </c>
      <c r="C1203" s="7"/>
      <c r="D1203" s="7"/>
      <c r="E1203" s="7"/>
      <c r="F1203" s="24" t="s">
        <v>55</v>
      </c>
      <c r="G1203" s="7">
        <v>610</v>
      </c>
      <c r="H1203" s="7" t="s">
        <v>143</v>
      </c>
      <c r="I1203" s="22">
        <f>27328+647</f>
        <v>27975</v>
      </c>
      <c r="J1203" s="22">
        <v>27975</v>
      </c>
      <c r="K1203" s="218">
        <f t="shared" ref="K1203:K1267" si="104">J1203/I1203*100</f>
        <v>100</v>
      </c>
      <c r="L1203" s="278"/>
      <c r="M1203" s="284"/>
      <c r="N1203" s="22"/>
      <c r="O1203" s="218"/>
      <c r="P1203" s="278"/>
      <c r="Q1203" s="284">
        <f t="shared" si="102"/>
        <v>27975</v>
      </c>
      <c r="R1203" s="22">
        <f t="shared" si="102"/>
        <v>27975</v>
      </c>
      <c r="S1203" s="219">
        <f t="shared" ref="S1203:S1267" si="105">R1203/Q1203*100</f>
        <v>100</v>
      </c>
    </row>
    <row r="1204" spans="2:19" x14ac:dyDescent="0.2">
      <c r="B1204" s="78">
        <f t="shared" si="101"/>
        <v>631</v>
      </c>
      <c r="C1204" s="7"/>
      <c r="D1204" s="7"/>
      <c r="E1204" s="7"/>
      <c r="F1204" s="24" t="s">
        <v>55</v>
      </c>
      <c r="G1204" s="7">
        <v>620</v>
      </c>
      <c r="H1204" s="7" t="s">
        <v>136</v>
      </c>
      <c r="I1204" s="22">
        <f>10176-624</f>
        <v>9552</v>
      </c>
      <c r="J1204" s="22">
        <v>9552</v>
      </c>
      <c r="K1204" s="218">
        <f t="shared" si="104"/>
        <v>100</v>
      </c>
      <c r="L1204" s="278"/>
      <c r="M1204" s="284"/>
      <c r="N1204" s="22"/>
      <c r="O1204" s="218"/>
      <c r="P1204" s="278"/>
      <c r="Q1204" s="284">
        <f t="shared" si="102"/>
        <v>9552</v>
      </c>
      <c r="R1204" s="22">
        <f t="shared" si="102"/>
        <v>9552</v>
      </c>
      <c r="S1204" s="219">
        <f t="shared" si="105"/>
        <v>100</v>
      </c>
    </row>
    <row r="1205" spans="2:19" x14ac:dyDescent="0.2">
      <c r="B1205" s="78">
        <f t="shared" si="101"/>
        <v>632</v>
      </c>
      <c r="C1205" s="7"/>
      <c r="D1205" s="7"/>
      <c r="E1205" s="7"/>
      <c r="F1205" s="24" t="s">
        <v>55</v>
      </c>
      <c r="G1205" s="7">
        <v>630</v>
      </c>
      <c r="H1205" s="7" t="s">
        <v>133</v>
      </c>
      <c r="I1205" s="22">
        <f>SUM(I1206:I1209)</f>
        <v>50464</v>
      </c>
      <c r="J1205" s="22">
        <f>SUM(J1206:J1209)</f>
        <v>50463</v>
      </c>
      <c r="K1205" s="218">
        <f t="shared" si="104"/>
        <v>99.998018389346868</v>
      </c>
      <c r="L1205" s="278"/>
      <c r="M1205" s="284"/>
      <c r="N1205" s="22"/>
      <c r="O1205" s="218"/>
      <c r="P1205" s="278"/>
      <c r="Q1205" s="284">
        <f t="shared" si="102"/>
        <v>50464</v>
      </c>
      <c r="R1205" s="22">
        <f t="shared" si="102"/>
        <v>50463</v>
      </c>
      <c r="S1205" s="219">
        <f t="shared" si="105"/>
        <v>99.998018389346868</v>
      </c>
    </row>
    <row r="1206" spans="2:19" x14ac:dyDescent="0.2">
      <c r="B1206" s="78">
        <f t="shared" si="101"/>
        <v>633</v>
      </c>
      <c r="C1206" s="3"/>
      <c r="D1206" s="3"/>
      <c r="E1206" s="3"/>
      <c r="F1206" s="25" t="s">
        <v>55</v>
      </c>
      <c r="G1206" s="3">
        <v>632</v>
      </c>
      <c r="H1206" s="3" t="s">
        <v>146</v>
      </c>
      <c r="I1206" s="18">
        <f>5046-186+950</f>
        <v>5810</v>
      </c>
      <c r="J1206" s="18">
        <v>5810</v>
      </c>
      <c r="K1206" s="218">
        <f t="shared" si="104"/>
        <v>100</v>
      </c>
      <c r="L1206" s="279"/>
      <c r="M1206" s="285"/>
      <c r="N1206" s="18"/>
      <c r="O1206" s="218"/>
      <c r="P1206" s="279"/>
      <c r="Q1206" s="285">
        <f t="shared" si="102"/>
        <v>5810</v>
      </c>
      <c r="R1206" s="18">
        <f t="shared" si="102"/>
        <v>5810</v>
      </c>
      <c r="S1206" s="219">
        <f t="shared" si="105"/>
        <v>100</v>
      </c>
    </row>
    <row r="1207" spans="2:19" x14ac:dyDescent="0.2">
      <c r="B1207" s="78">
        <f t="shared" si="101"/>
        <v>634</v>
      </c>
      <c r="C1207" s="3"/>
      <c r="D1207" s="3"/>
      <c r="E1207" s="3"/>
      <c r="F1207" s="25" t="s">
        <v>55</v>
      </c>
      <c r="G1207" s="3">
        <v>633</v>
      </c>
      <c r="H1207" s="3" t="s">
        <v>137</v>
      </c>
      <c r="I1207" s="18">
        <f>40841+1511</f>
        <v>42352</v>
      </c>
      <c r="J1207" s="18">
        <v>42351</v>
      </c>
      <c r="K1207" s="218">
        <f t="shared" si="104"/>
        <v>99.997638836418588</v>
      </c>
      <c r="L1207" s="279"/>
      <c r="M1207" s="285"/>
      <c r="N1207" s="18"/>
      <c r="O1207" s="218"/>
      <c r="P1207" s="279"/>
      <c r="Q1207" s="285">
        <f t="shared" si="102"/>
        <v>42352</v>
      </c>
      <c r="R1207" s="18">
        <f t="shared" si="102"/>
        <v>42351</v>
      </c>
      <c r="S1207" s="219">
        <f t="shared" si="105"/>
        <v>99.997638836418588</v>
      </c>
    </row>
    <row r="1208" spans="2:19" x14ac:dyDescent="0.2">
      <c r="B1208" s="78">
        <f t="shared" si="101"/>
        <v>635</v>
      </c>
      <c r="C1208" s="3"/>
      <c r="D1208" s="3"/>
      <c r="E1208" s="3"/>
      <c r="F1208" s="25" t="s">
        <v>55</v>
      </c>
      <c r="G1208" s="3">
        <v>635</v>
      </c>
      <c r="H1208" s="3" t="s">
        <v>145</v>
      </c>
      <c r="I1208" s="18">
        <f>216+186</f>
        <v>402</v>
      </c>
      <c r="J1208" s="18">
        <v>402</v>
      </c>
      <c r="K1208" s="218">
        <f t="shared" si="104"/>
        <v>100</v>
      </c>
      <c r="L1208" s="279"/>
      <c r="M1208" s="285"/>
      <c r="N1208" s="18"/>
      <c r="O1208" s="218"/>
      <c r="P1208" s="279"/>
      <c r="Q1208" s="285">
        <f t="shared" si="102"/>
        <v>402</v>
      </c>
      <c r="R1208" s="18">
        <f t="shared" si="102"/>
        <v>402</v>
      </c>
      <c r="S1208" s="219">
        <f t="shared" si="105"/>
        <v>100</v>
      </c>
    </row>
    <row r="1209" spans="2:19" x14ac:dyDescent="0.2">
      <c r="B1209" s="78">
        <f t="shared" si="101"/>
        <v>636</v>
      </c>
      <c r="C1209" s="3"/>
      <c r="D1209" s="3"/>
      <c r="E1209" s="3"/>
      <c r="F1209" s="25" t="s">
        <v>55</v>
      </c>
      <c r="G1209" s="3">
        <v>637</v>
      </c>
      <c r="H1209" s="3" t="s">
        <v>134</v>
      </c>
      <c r="I1209" s="18">
        <f>1200+700</f>
        <v>1900</v>
      </c>
      <c r="J1209" s="18">
        <v>1900</v>
      </c>
      <c r="K1209" s="218">
        <f t="shared" si="104"/>
        <v>100</v>
      </c>
      <c r="L1209" s="279"/>
      <c r="M1209" s="285"/>
      <c r="N1209" s="18"/>
      <c r="O1209" s="218"/>
      <c r="P1209" s="279"/>
      <c r="Q1209" s="285">
        <f t="shared" si="102"/>
        <v>1900</v>
      </c>
      <c r="R1209" s="18">
        <f t="shared" si="102"/>
        <v>1900</v>
      </c>
      <c r="S1209" s="219">
        <f t="shared" si="105"/>
        <v>100</v>
      </c>
    </row>
    <row r="1210" spans="2:19" x14ac:dyDescent="0.2">
      <c r="B1210" s="78">
        <f t="shared" si="101"/>
        <v>637</v>
      </c>
      <c r="C1210" s="7"/>
      <c r="D1210" s="7"/>
      <c r="E1210" s="7"/>
      <c r="F1210" s="24" t="s">
        <v>55</v>
      </c>
      <c r="G1210" s="7">
        <v>640</v>
      </c>
      <c r="H1210" s="7" t="s">
        <v>141</v>
      </c>
      <c r="I1210" s="22">
        <f>113-23</f>
        <v>90</v>
      </c>
      <c r="J1210" s="22">
        <v>90</v>
      </c>
      <c r="K1210" s="218">
        <f t="shared" si="104"/>
        <v>100</v>
      </c>
      <c r="L1210" s="278"/>
      <c r="M1210" s="284"/>
      <c r="N1210" s="22"/>
      <c r="O1210" s="218"/>
      <c r="P1210" s="278"/>
      <c r="Q1210" s="284">
        <f t="shared" si="102"/>
        <v>90</v>
      </c>
      <c r="R1210" s="22">
        <f t="shared" si="102"/>
        <v>90</v>
      </c>
      <c r="S1210" s="219">
        <f t="shared" si="105"/>
        <v>100</v>
      </c>
    </row>
    <row r="1211" spans="2:19" x14ac:dyDescent="0.2">
      <c r="B1211" s="78">
        <f t="shared" si="101"/>
        <v>638</v>
      </c>
      <c r="C1211" s="7"/>
      <c r="D1211" s="7"/>
      <c r="E1211" s="7"/>
      <c r="F1211" s="24" t="s">
        <v>55</v>
      </c>
      <c r="G1211" s="7">
        <v>642</v>
      </c>
      <c r="H1211" s="7" t="s">
        <v>695</v>
      </c>
      <c r="I1211" s="22">
        <v>0</v>
      </c>
      <c r="J1211" s="22">
        <v>5970</v>
      </c>
      <c r="K1211" s="218"/>
      <c r="L1211" s="278"/>
      <c r="M1211" s="284"/>
      <c r="N1211" s="22"/>
      <c r="O1211" s="218"/>
      <c r="P1211" s="278"/>
      <c r="Q1211" s="284"/>
      <c r="R1211" s="22">
        <f t="shared" si="102"/>
        <v>5970</v>
      </c>
      <c r="S1211" s="219"/>
    </row>
    <row r="1212" spans="2:19" ht="15" x14ac:dyDescent="0.25">
      <c r="B1212" s="78">
        <f t="shared" si="101"/>
        <v>639</v>
      </c>
      <c r="C1212" s="10"/>
      <c r="D1212" s="10"/>
      <c r="E1212" s="10">
        <v>7</v>
      </c>
      <c r="F1212" s="27"/>
      <c r="G1212" s="10"/>
      <c r="H1212" s="10" t="s">
        <v>13</v>
      </c>
      <c r="I1212" s="37">
        <f>I1213+I1214+I1215+I1220+I1221+I1222+I1223+I1228</f>
        <v>202217</v>
      </c>
      <c r="J1212" s="37">
        <f>J1213+J1214+J1215+J1220+J1221+J1222+J1223+J1228+J1229</f>
        <v>249420</v>
      </c>
      <c r="K1212" s="218">
        <f t="shared" si="104"/>
        <v>123.34274566431111</v>
      </c>
      <c r="L1212" s="295"/>
      <c r="M1212" s="299">
        <v>0</v>
      </c>
      <c r="N1212" s="37">
        <v>0</v>
      </c>
      <c r="O1212" s="218"/>
      <c r="P1212" s="295"/>
      <c r="Q1212" s="299">
        <f t="shared" si="102"/>
        <v>202217</v>
      </c>
      <c r="R1212" s="37">
        <f t="shared" si="102"/>
        <v>249420</v>
      </c>
      <c r="S1212" s="219">
        <f t="shared" si="105"/>
        <v>123.34274566431111</v>
      </c>
    </row>
    <row r="1213" spans="2:19" x14ac:dyDescent="0.2">
      <c r="B1213" s="78">
        <f t="shared" si="101"/>
        <v>640</v>
      </c>
      <c r="C1213" s="7"/>
      <c r="D1213" s="7"/>
      <c r="E1213" s="7"/>
      <c r="F1213" s="24" t="s">
        <v>87</v>
      </c>
      <c r="G1213" s="7">
        <v>610</v>
      </c>
      <c r="H1213" s="7" t="s">
        <v>143</v>
      </c>
      <c r="I1213" s="22">
        <f>35109+2196-2294</f>
        <v>35011</v>
      </c>
      <c r="J1213" s="22">
        <v>35011</v>
      </c>
      <c r="K1213" s="218">
        <f t="shared" si="104"/>
        <v>100</v>
      </c>
      <c r="L1213" s="278"/>
      <c r="M1213" s="284"/>
      <c r="N1213" s="22"/>
      <c r="O1213" s="218"/>
      <c r="P1213" s="278"/>
      <c r="Q1213" s="284">
        <f t="shared" si="102"/>
        <v>35011</v>
      </c>
      <c r="R1213" s="22">
        <f t="shared" si="102"/>
        <v>35011</v>
      </c>
      <c r="S1213" s="219">
        <f t="shared" si="105"/>
        <v>100</v>
      </c>
    </row>
    <row r="1214" spans="2:19" x14ac:dyDescent="0.2">
      <c r="B1214" s="78">
        <f t="shared" si="101"/>
        <v>641</v>
      </c>
      <c r="C1214" s="7"/>
      <c r="D1214" s="7"/>
      <c r="E1214" s="7"/>
      <c r="F1214" s="24" t="s">
        <v>87</v>
      </c>
      <c r="G1214" s="7">
        <v>620</v>
      </c>
      <c r="H1214" s="7" t="s">
        <v>136</v>
      </c>
      <c r="I1214" s="22">
        <f>12829+773-906</f>
        <v>12696</v>
      </c>
      <c r="J1214" s="22">
        <v>12697</v>
      </c>
      <c r="K1214" s="218">
        <f t="shared" si="104"/>
        <v>100.00787649653434</v>
      </c>
      <c r="L1214" s="278"/>
      <c r="M1214" s="284"/>
      <c r="N1214" s="22"/>
      <c r="O1214" s="218"/>
      <c r="P1214" s="278"/>
      <c r="Q1214" s="284">
        <f t="shared" si="102"/>
        <v>12696</v>
      </c>
      <c r="R1214" s="22">
        <f t="shared" si="102"/>
        <v>12697</v>
      </c>
      <c r="S1214" s="219">
        <f t="shared" si="105"/>
        <v>100.00787649653434</v>
      </c>
    </row>
    <row r="1215" spans="2:19" x14ac:dyDescent="0.2">
      <c r="B1215" s="78">
        <f t="shared" si="101"/>
        <v>642</v>
      </c>
      <c r="C1215" s="7"/>
      <c r="D1215" s="7"/>
      <c r="E1215" s="7"/>
      <c r="F1215" s="24" t="s">
        <v>87</v>
      </c>
      <c r="G1215" s="7">
        <v>630</v>
      </c>
      <c r="H1215" s="7" t="s">
        <v>133</v>
      </c>
      <c r="I1215" s="22">
        <f>SUM(I1216:I1219)</f>
        <v>49593</v>
      </c>
      <c r="J1215" s="22">
        <f>SUM(J1216:J1219)</f>
        <v>66060</v>
      </c>
      <c r="K1215" s="218">
        <f t="shared" si="104"/>
        <v>133.20428286250078</v>
      </c>
      <c r="L1215" s="278"/>
      <c r="M1215" s="284"/>
      <c r="N1215" s="22"/>
      <c r="O1215" s="218"/>
      <c r="P1215" s="278"/>
      <c r="Q1215" s="284">
        <f t="shared" si="102"/>
        <v>49593</v>
      </c>
      <c r="R1215" s="22">
        <f t="shared" si="102"/>
        <v>66060</v>
      </c>
      <c r="S1215" s="219">
        <f t="shared" si="105"/>
        <v>133.20428286250078</v>
      </c>
    </row>
    <row r="1216" spans="2:19" x14ac:dyDescent="0.2">
      <c r="B1216" s="78">
        <f t="shared" si="101"/>
        <v>643</v>
      </c>
      <c r="C1216" s="3"/>
      <c r="D1216" s="3"/>
      <c r="E1216" s="3"/>
      <c r="F1216" s="25" t="s">
        <v>87</v>
      </c>
      <c r="G1216" s="3">
        <v>632</v>
      </c>
      <c r="H1216" s="3" t="s">
        <v>146</v>
      </c>
      <c r="I1216" s="18">
        <v>1292</v>
      </c>
      <c r="J1216" s="18">
        <v>1292</v>
      </c>
      <c r="K1216" s="218">
        <f t="shared" si="104"/>
        <v>100</v>
      </c>
      <c r="L1216" s="279"/>
      <c r="M1216" s="285"/>
      <c r="N1216" s="18"/>
      <c r="O1216" s="218"/>
      <c r="P1216" s="279"/>
      <c r="Q1216" s="285">
        <f t="shared" si="102"/>
        <v>1292</v>
      </c>
      <c r="R1216" s="18">
        <f t="shared" si="102"/>
        <v>1292</v>
      </c>
      <c r="S1216" s="219">
        <f t="shared" si="105"/>
        <v>100</v>
      </c>
    </row>
    <row r="1217" spans="2:19" x14ac:dyDescent="0.2">
      <c r="B1217" s="78">
        <f t="shared" ref="B1217:B1280" si="106">B1216+1</f>
        <v>644</v>
      </c>
      <c r="C1217" s="3"/>
      <c r="D1217" s="3"/>
      <c r="E1217" s="3"/>
      <c r="F1217" s="25" t="s">
        <v>87</v>
      </c>
      <c r="G1217" s="3">
        <v>633</v>
      </c>
      <c r="H1217" s="3" t="s">
        <v>137</v>
      </c>
      <c r="I1217" s="18">
        <f>45901-1000</f>
        <v>44901</v>
      </c>
      <c r="J1217" s="18">
        <v>61368</v>
      </c>
      <c r="K1217" s="218">
        <f t="shared" si="104"/>
        <v>136.67401616890493</v>
      </c>
      <c r="L1217" s="279"/>
      <c r="M1217" s="285"/>
      <c r="N1217" s="18"/>
      <c r="O1217" s="218"/>
      <c r="P1217" s="279"/>
      <c r="Q1217" s="285">
        <f t="shared" si="102"/>
        <v>44901</v>
      </c>
      <c r="R1217" s="18">
        <f t="shared" si="102"/>
        <v>61368</v>
      </c>
      <c r="S1217" s="219">
        <f t="shared" si="105"/>
        <v>136.67401616890493</v>
      </c>
    </row>
    <row r="1218" spans="2:19" x14ac:dyDescent="0.2">
      <c r="B1218" s="78">
        <f t="shared" si="106"/>
        <v>645</v>
      </c>
      <c r="C1218" s="3"/>
      <c r="D1218" s="3"/>
      <c r="E1218" s="3"/>
      <c r="F1218" s="25" t="s">
        <v>87</v>
      </c>
      <c r="G1218" s="3">
        <v>635</v>
      </c>
      <c r="H1218" s="3" t="s">
        <v>145</v>
      </c>
      <c r="I1218" s="18">
        <v>645</v>
      </c>
      <c r="J1218" s="18">
        <v>645</v>
      </c>
      <c r="K1218" s="218">
        <f t="shared" si="104"/>
        <v>100</v>
      </c>
      <c r="L1218" s="279"/>
      <c r="M1218" s="285"/>
      <c r="N1218" s="18"/>
      <c r="O1218" s="218"/>
      <c r="P1218" s="279"/>
      <c r="Q1218" s="285">
        <f t="shared" si="102"/>
        <v>645</v>
      </c>
      <c r="R1218" s="18">
        <f t="shared" si="102"/>
        <v>645</v>
      </c>
      <c r="S1218" s="219">
        <f t="shared" si="105"/>
        <v>100</v>
      </c>
    </row>
    <row r="1219" spans="2:19" x14ac:dyDescent="0.2">
      <c r="B1219" s="78">
        <f t="shared" si="106"/>
        <v>646</v>
      </c>
      <c r="C1219" s="3"/>
      <c r="D1219" s="3"/>
      <c r="E1219" s="3"/>
      <c r="F1219" s="25" t="s">
        <v>87</v>
      </c>
      <c r="G1219" s="3">
        <v>637</v>
      </c>
      <c r="H1219" s="3" t="s">
        <v>134</v>
      </c>
      <c r="I1219" s="18">
        <f>1755+1000</f>
        <v>2755</v>
      </c>
      <c r="J1219" s="18">
        <v>2755</v>
      </c>
      <c r="K1219" s="218">
        <f t="shared" si="104"/>
        <v>100</v>
      </c>
      <c r="L1219" s="279"/>
      <c r="M1219" s="285"/>
      <c r="N1219" s="18"/>
      <c r="O1219" s="218"/>
      <c r="P1219" s="279"/>
      <c r="Q1219" s="285">
        <f t="shared" si="102"/>
        <v>2755</v>
      </c>
      <c r="R1219" s="18">
        <f t="shared" si="102"/>
        <v>2755</v>
      </c>
      <c r="S1219" s="219">
        <f t="shared" si="105"/>
        <v>100</v>
      </c>
    </row>
    <row r="1220" spans="2:19" x14ac:dyDescent="0.2">
      <c r="B1220" s="78">
        <f t="shared" si="106"/>
        <v>647</v>
      </c>
      <c r="C1220" s="7"/>
      <c r="D1220" s="7"/>
      <c r="E1220" s="7"/>
      <c r="F1220" s="24" t="s">
        <v>87</v>
      </c>
      <c r="G1220" s="7">
        <v>640</v>
      </c>
      <c r="H1220" s="7" t="s">
        <v>141</v>
      </c>
      <c r="I1220" s="22">
        <f>758-300</f>
        <v>458</v>
      </c>
      <c r="J1220" s="22">
        <v>457</v>
      </c>
      <c r="K1220" s="218">
        <f t="shared" si="104"/>
        <v>99.78165938864629</v>
      </c>
      <c r="L1220" s="278"/>
      <c r="M1220" s="284"/>
      <c r="N1220" s="22"/>
      <c r="O1220" s="218"/>
      <c r="P1220" s="278"/>
      <c r="Q1220" s="284">
        <f t="shared" si="102"/>
        <v>458</v>
      </c>
      <c r="R1220" s="22">
        <f t="shared" si="102"/>
        <v>457</v>
      </c>
      <c r="S1220" s="219">
        <f t="shared" si="105"/>
        <v>99.78165938864629</v>
      </c>
    </row>
    <row r="1221" spans="2:19" x14ac:dyDescent="0.2">
      <c r="B1221" s="78">
        <f t="shared" si="106"/>
        <v>648</v>
      </c>
      <c r="C1221" s="7"/>
      <c r="D1221" s="7"/>
      <c r="E1221" s="7"/>
      <c r="F1221" s="24" t="s">
        <v>55</v>
      </c>
      <c r="G1221" s="7">
        <v>610</v>
      </c>
      <c r="H1221" s="7" t="s">
        <v>143</v>
      </c>
      <c r="I1221" s="22">
        <f>39549+1000</f>
        <v>40549</v>
      </c>
      <c r="J1221" s="22">
        <v>40549</v>
      </c>
      <c r="K1221" s="218">
        <f t="shared" si="104"/>
        <v>100</v>
      </c>
      <c r="L1221" s="278"/>
      <c r="M1221" s="284"/>
      <c r="N1221" s="22"/>
      <c r="O1221" s="218"/>
      <c r="P1221" s="278"/>
      <c r="Q1221" s="284">
        <f t="shared" si="102"/>
        <v>40549</v>
      </c>
      <c r="R1221" s="22">
        <f t="shared" si="102"/>
        <v>40549</v>
      </c>
      <c r="S1221" s="219">
        <f t="shared" si="105"/>
        <v>100</v>
      </c>
    </row>
    <row r="1222" spans="2:19" x14ac:dyDescent="0.2">
      <c r="B1222" s="78">
        <f t="shared" si="106"/>
        <v>649</v>
      </c>
      <c r="C1222" s="7"/>
      <c r="D1222" s="7"/>
      <c r="E1222" s="7"/>
      <c r="F1222" s="24" t="s">
        <v>55</v>
      </c>
      <c r="G1222" s="7">
        <v>620</v>
      </c>
      <c r="H1222" s="7" t="s">
        <v>136</v>
      </c>
      <c r="I1222" s="22">
        <v>14544</v>
      </c>
      <c r="J1222" s="22">
        <v>14544</v>
      </c>
      <c r="K1222" s="218">
        <f t="shared" si="104"/>
        <v>100</v>
      </c>
      <c r="L1222" s="278"/>
      <c r="M1222" s="284"/>
      <c r="N1222" s="22"/>
      <c r="O1222" s="218"/>
      <c r="P1222" s="278"/>
      <c r="Q1222" s="284">
        <f t="shared" si="102"/>
        <v>14544</v>
      </c>
      <c r="R1222" s="22">
        <f t="shared" si="102"/>
        <v>14544</v>
      </c>
      <c r="S1222" s="219">
        <f t="shared" si="105"/>
        <v>100</v>
      </c>
    </row>
    <row r="1223" spans="2:19" x14ac:dyDescent="0.2">
      <c r="B1223" s="78">
        <f t="shared" si="106"/>
        <v>650</v>
      </c>
      <c r="C1223" s="7"/>
      <c r="D1223" s="7"/>
      <c r="E1223" s="7"/>
      <c r="F1223" s="24" t="s">
        <v>55</v>
      </c>
      <c r="G1223" s="7">
        <v>630</v>
      </c>
      <c r="H1223" s="7" t="s">
        <v>133</v>
      </c>
      <c r="I1223" s="22">
        <f>SUM(I1224:I1227)</f>
        <v>48493</v>
      </c>
      <c r="J1223" s="22">
        <f>SUM(J1224:J1227)</f>
        <v>64960</v>
      </c>
      <c r="K1223" s="218">
        <f t="shared" si="104"/>
        <v>133.95747839894418</v>
      </c>
      <c r="L1223" s="278"/>
      <c r="M1223" s="284"/>
      <c r="N1223" s="22"/>
      <c r="O1223" s="218"/>
      <c r="P1223" s="278"/>
      <c r="Q1223" s="284">
        <f t="shared" si="102"/>
        <v>48493</v>
      </c>
      <c r="R1223" s="22">
        <f t="shared" si="102"/>
        <v>64960</v>
      </c>
      <c r="S1223" s="219">
        <f t="shared" si="105"/>
        <v>133.95747839894418</v>
      </c>
    </row>
    <row r="1224" spans="2:19" x14ac:dyDescent="0.2">
      <c r="B1224" s="78">
        <f t="shared" si="106"/>
        <v>651</v>
      </c>
      <c r="C1224" s="3"/>
      <c r="D1224" s="3"/>
      <c r="E1224" s="3"/>
      <c r="F1224" s="25" t="s">
        <v>55</v>
      </c>
      <c r="G1224" s="3">
        <v>632</v>
      </c>
      <c r="H1224" s="3" t="s">
        <v>146</v>
      </c>
      <c r="I1224" s="18">
        <v>1796</v>
      </c>
      <c r="J1224" s="18">
        <v>1796</v>
      </c>
      <c r="K1224" s="218">
        <f t="shared" si="104"/>
        <v>100</v>
      </c>
      <c r="L1224" s="279"/>
      <c r="M1224" s="285"/>
      <c r="N1224" s="18"/>
      <c r="O1224" s="218"/>
      <c r="P1224" s="279"/>
      <c r="Q1224" s="285">
        <f t="shared" si="102"/>
        <v>1796</v>
      </c>
      <c r="R1224" s="18">
        <f t="shared" si="102"/>
        <v>1796</v>
      </c>
      <c r="S1224" s="219">
        <f t="shared" si="105"/>
        <v>100</v>
      </c>
    </row>
    <row r="1225" spans="2:19" x14ac:dyDescent="0.2">
      <c r="B1225" s="78">
        <f t="shared" si="106"/>
        <v>652</v>
      </c>
      <c r="C1225" s="3"/>
      <c r="D1225" s="3"/>
      <c r="E1225" s="3"/>
      <c r="F1225" s="25" t="s">
        <v>55</v>
      </c>
      <c r="G1225" s="3">
        <v>633</v>
      </c>
      <c r="H1225" s="3" t="s">
        <v>137</v>
      </c>
      <c r="I1225" s="18">
        <f>43412+366-731</f>
        <v>43047</v>
      </c>
      <c r="J1225" s="18">
        <v>59514</v>
      </c>
      <c r="K1225" s="218">
        <f t="shared" si="104"/>
        <v>138.25353683183496</v>
      </c>
      <c r="L1225" s="279"/>
      <c r="M1225" s="285"/>
      <c r="N1225" s="18"/>
      <c r="O1225" s="218"/>
      <c r="P1225" s="279"/>
      <c r="Q1225" s="285">
        <f t="shared" ref="Q1225:R1293" si="107">I1225+M1225</f>
        <v>43047</v>
      </c>
      <c r="R1225" s="18">
        <f t="shared" si="107"/>
        <v>59514</v>
      </c>
      <c r="S1225" s="219">
        <f t="shared" si="105"/>
        <v>138.25353683183496</v>
      </c>
    </row>
    <row r="1226" spans="2:19" x14ac:dyDescent="0.2">
      <c r="B1226" s="78">
        <f t="shared" si="106"/>
        <v>653</v>
      </c>
      <c r="C1226" s="3"/>
      <c r="D1226" s="3"/>
      <c r="E1226" s="3"/>
      <c r="F1226" s="25" t="s">
        <v>55</v>
      </c>
      <c r="G1226" s="3">
        <v>635</v>
      </c>
      <c r="H1226" s="3" t="s">
        <v>145</v>
      </c>
      <c r="I1226" s="18">
        <v>855</v>
      </c>
      <c r="J1226" s="18">
        <v>855</v>
      </c>
      <c r="K1226" s="218">
        <f t="shared" si="104"/>
        <v>100</v>
      </c>
      <c r="L1226" s="279"/>
      <c r="M1226" s="285"/>
      <c r="N1226" s="18"/>
      <c r="O1226" s="218"/>
      <c r="P1226" s="279"/>
      <c r="Q1226" s="285">
        <f t="shared" si="107"/>
        <v>855</v>
      </c>
      <c r="R1226" s="18">
        <f t="shared" si="107"/>
        <v>855</v>
      </c>
      <c r="S1226" s="219">
        <f t="shared" si="105"/>
        <v>100</v>
      </c>
    </row>
    <row r="1227" spans="2:19" x14ac:dyDescent="0.2">
      <c r="B1227" s="78">
        <f t="shared" si="106"/>
        <v>654</v>
      </c>
      <c r="C1227" s="3"/>
      <c r="D1227" s="3"/>
      <c r="E1227" s="3"/>
      <c r="F1227" s="25" t="s">
        <v>55</v>
      </c>
      <c r="G1227" s="3">
        <v>637</v>
      </c>
      <c r="H1227" s="3" t="s">
        <v>134</v>
      </c>
      <c r="I1227" s="18">
        <f>1995+800</f>
        <v>2795</v>
      </c>
      <c r="J1227" s="18">
        <v>2795</v>
      </c>
      <c r="K1227" s="218">
        <f t="shared" si="104"/>
        <v>100</v>
      </c>
      <c r="L1227" s="279"/>
      <c r="M1227" s="285"/>
      <c r="N1227" s="18"/>
      <c r="O1227" s="218"/>
      <c r="P1227" s="279"/>
      <c r="Q1227" s="285">
        <f t="shared" si="107"/>
        <v>2795</v>
      </c>
      <c r="R1227" s="18">
        <f t="shared" si="107"/>
        <v>2795</v>
      </c>
      <c r="S1227" s="219">
        <f t="shared" si="105"/>
        <v>100</v>
      </c>
    </row>
    <row r="1228" spans="2:19" x14ac:dyDescent="0.2">
      <c r="B1228" s="78">
        <f t="shared" si="106"/>
        <v>655</v>
      </c>
      <c r="C1228" s="7"/>
      <c r="D1228" s="7"/>
      <c r="E1228" s="7"/>
      <c r="F1228" s="24" t="s">
        <v>55</v>
      </c>
      <c r="G1228" s="7">
        <v>640</v>
      </c>
      <c r="H1228" s="7" t="s">
        <v>141</v>
      </c>
      <c r="I1228" s="22">
        <f>1873-1000</f>
        <v>873</v>
      </c>
      <c r="J1228" s="22">
        <v>873</v>
      </c>
      <c r="K1228" s="218">
        <f t="shared" si="104"/>
        <v>100</v>
      </c>
      <c r="L1228" s="278"/>
      <c r="M1228" s="284"/>
      <c r="N1228" s="22"/>
      <c r="O1228" s="218"/>
      <c r="P1228" s="278"/>
      <c r="Q1228" s="284">
        <f t="shared" si="107"/>
        <v>873</v>
      </c>
      <c r="R1228" s="22">
        <f t="shared" si="107"/>
        <v>873</v>
      </c>
      <c r="S1228" s="219">
        <f t="shared" si="105"/>
        <v>100</v>
      </c>
    </row>
    <row r="1229" spans="2:19" x14ac:dyDescent="0.2">
      <c r="B1229" s="78">
        <f t="shared" si="106"/>
        <v>656</v>
      </c>
      <c r="C1229" s="7"/>
      <c r="D1229" s="7"/>
      <c r="E1229" s="7"/>
      <c r="F1229" s="24" t="s">
        <v>55</v>
      </c>
      <c r="G1229" s="7">
        <v>640</v>
      </c>
      <c r="H1229" s="7" t="s">
        <v>695</v>
      </c>
      <c r="I1229" s="22">
        <v>0</v>
      </c>
      <c r="J1229" s="22">
        <v>14269</v>
      </c>
      <c r="K1229" s="218"/>
      <c r="L1229" s="278"/>
      <c r="M1229" s="284"/>
      <c r="N1229" s="22"/>
      <c r="O1229" s="218"/>
      <c r="P1229" s="278"/>
      <c r="Q1229" s="284"/>
      <c r="R1229" s="22">
        <f t="shared" si="107"/>
        <v>14269</v>
      </c>
      <c r="S1229" s="219"/>
    </row>
    <row r="1230" spans="2:19" ht="15" x14ac:dyDescent="0.25">
      <c r="B1230" s="78">
        <f t="shared" si="106"/>
        <v>657</v>
      </c>
      <c r="C1230" s="10"/>
      <c r="D1230" s="10"/>
      <c r="E1230" s="10">
        <v>8</v>
      </c>
      <c r="F1230" s="27"/>
      <c r="G1230" s="10"/>
      <c r="H1230" s="10" t="s">
        <v>10</v>
      </c>
      <c r="I1230" s="37">
        <f>I1231+I1233</f>
        <v>141861</v>
      </c>
      <c r="J1230" s="37">
        <f>J1231+J1233</f>
        <v>141861</v>
      </c>
      <c r="K1230" s="218">
        <f t="shared" si="104"/>
        <v>100</v>
      </c>
      <c r="L1230" s="295"/>
      <c r="M1230" s="299"/>
      <c r="N1230" s="37"/>
      <c r="O1230" s="218"/>
      <c r="P1230" s="295"/>
      <c r="Q1230" s="299">
        <f t="shared" si="107"/>
        <v>141861</v>
      </c>
      <c r="R1230" s="37">
        <f t="shared" si="107"/>
        <v>141861</v>
      </c>
      <c r="S1230" s="219">
        <f t="shared" si="105"/>
        <v>100</v>
      </c>
    </row>
    <row r="1231" spans="2:19" x14ac:dyDescent="0.2">
      <c r="B1231" s="78">
        <f t="shared" si="106"/>
        <v>658</v>
      </c>
      <c r="C1231" s="7"/>
      <c r="D1231" s="7"/>
      <c r="E1231" s="7"/>
      <c r="F1231" s="24" t="s">
        <v>87</v>
      </c>
      <c r="G1231" s="7">
        <v>630</v>
      </c>
      <c r="H1231" s="7" t="s">
        <v>133</v>
      </c>
      <c r="I1231" s="22">
        <f>I1232</f>
        <v>56745</v>
      </c>
      <c r="J1231" s="22">
        <f>J1232</f>
        <v>56745</v>
      </c>
      <c r="K1231" s="218">
        <f t="shared" si="104"/>
        <v>100</v>
      </c>
      <c r="L1231" s="278"/>
      <c r="M1231" s="284"/>
      <c r="N1231" s="22"/>
      <c r="O1231" s="218"/>
      <c r="P1231" s="278"/>
      <c r="Q1231" s="284">
        <f t="shared" si="107"/>
        <v>56745</v>
      </c>
      <c r="R1231" s="22">
        <f t="shared" si="107"/>
        <v>56745</v>
      </c>
      <c r="S1231" s="219">
        <f t="shared" si="105"/>
        <v>100</v>
      </c>
    </row>
    <row r="1232" spans="2:19" x14ac:dyDescent="0.2">
      <c r="B1232" s="78">
        <f t="shared" si="106"/>
        <v>659</v>
      </c>
      <c r="C1232" s="3"/>
      <c r="D1232" s="3"/>
      <c r="E1232" s="3"/>
      <c r="F1232" s="25" t="s">
        <v>87</v>
      </c>
      <c r="G1232" s="3">
        <v>637</v>
      </c>
      <c r="H1232" s="3" t="s">
        <v>134</v>
      </c>
      <c r="I1232" s="18">
        <v>56745</v>
      </c>
      <c r="J1232" s="18">
        <v>56745</v>
      </c>
      <c r="K1232" s="218">
        <f t="shared" si="104"/>
        <v>100</v>
      </c>
      <c r="L1232" s="279"/>
      <c r="M1232" s="285"/>
      <c r="N1232" s="18"/>
      <c r="O1232" s="218"/>
      <c r="P1232" s="279"/>
      <c r="Q1232" s="285">
        <f t="shared" si="107"/>
        <v>56745</v>
      </c>
      <c r="R1232" s="18">
        <f t="shared" si="107"/>
        <v>56745</v>
      </c>
      <c r="S1232" s="219">
        <f t="shared" si="105"/>
        <v>100</v>
      </c>
    </row>
    <row r="1233" spans="2:19" x14ac:dyDescent="0.2">
      <c r="B1233" s="78">
        <f t="shared" si="106"/>
        <v>660</v>
      </c>
      <c r="C1233" s="7"/>
      <c r="D1233" s="7"/>
      <c r="E1233" s="7"/>
      <c r="F1233" s="24" t="s">
        <v>55</v>
      </c>
      <c r="G1233" s="7">
        <v>630</v>
      </c>
      <c r="H1233" s="7" t="s">
        <v>133</v>
      </c>
      <c r="I1233" s="22">
        <f>I1234</f>
        <v>85116</v>
      </c>
      <c r="J1233" s="22">
        <f>J1234</f>
        <v>85116</v>
      </c>
      <c r="K1233" s="218">
        <f t="shared" si="104"/>
        <v>100</v>
      </c>
      <c r="L1233" s="278"/>
      <c r="M1233" s="284"/>
      <c r="N1233" s="22"/>
      <c r="O1233" s="218"/>
      <c r="P1233" s="278"/>
      <c r="Q1233" s="284">
        <f t="shared" si="107"/>
        <v>85116</v>
      </c>
      <c r="R1233" s="22">
        <f t="shared" si="107"/>
        <v>85116</v>
      </c>
      <c r="S1233" s="219">
        <f t="shared" si="105"/>
        <v>100</v>
      </c>
    </row>
    <row r="1234" spans="2:19" x14ac:dyDescent="0.2">
      <c r="B1234" s="78">
        <f t="shared" si="106"/>
        <v>661</v>
      </c>
      <c r="C1234" s="3"/>
      <c r="D1234" s="3"/>
      <c r="E1234" s="3"/>
      <c r="F1234" s="25" t="s">
        <v>55</v>
      </c>
      <c r="G1234" s="3">
        <v>637</v>
      </c>
      <c r="H1234" s="3" t="s">
        <v>134</v>
      </c>
      <c r="I1234" s="18">
        <v>85116</v>
      </c>
      <c r="J1234" s="18">
        <v>85116</v>
      </c>
      <c r="K1234" s="218">
        <f t="shared" si="104"/>
        <v>100</v>
      </c>
      <c r="L1234" s="279"/>
      <c r="M1234" s="285"/>
      <c r="N1234" s="18"/>
      <c r="O1234" s="218"/>
      <c r="P1234" s="279"/>
      <c r="Q1234" s="285">
        <f t="shared" si="107"/>
        <v>85116</v>
      </c>
      <c r="R1234" s="18">
        <f t="shared" si="107"/>
        <v>85116</v>
      </c>
      <c r="S1234" s="219">
        <f t="shared" si="105"/>
        <v>100</v>
      </c>
    </row>
    <row r="1235" spans="2:19" ht="15" x14ac:dyDescent="0.25">
      <c r="B1235" s="78">
        <f t="shared" si="106"/>
        <v>662</v>
      </c>
      <c r="C1235" s="10"/>
      <c r="D1235" s="10"/>
      <c r="E1235" s="10">
        <v>9</v>
      </c>
      <c r="F1235" s="27"/>
      <c r="G1235" s="10"/>
      <c r="H1235" s="10" t="s">
        <v>8</v>
      </c>
      <c r="I1235" s="37">
        <f>I1236+I1237+I1238+I1244+I1245+I1246+I1243+I1251</f>
        <v>159296</v>
      </c>
      <c r="J1235" s="37">
        <f>J1236+J1237+J1238+J1244+J1245+J1246+J1243+J1251</f>
        <v>159760</v>
      </c>
      <c r="K1235" s="218">
        <f t="shared" si="104"/>
        <v>100.29128163921253</v>
      </c>
      <c r="L1235" s="295"/>
      <c r="M1235" s="299">
        <f>M1252</f>
        <v>2666</v>
      </c>
      <c r="N1235" s="37">
        <f>N1252</f>
        <v>2666</v>
      </c>
      <c r="O1235" s="218">
        <f t="shared" ref="O1235:O1254" si="108">N1235/M1235*100</f>
        <v>100</v>
      </c>
      <c r="P1235" s="295"/>
      <c r="Q1235" s="299">
        <f t="shared" si="107"/>
        <v>161962</v>
      </c>
      <c r="R1235" s="37">
        <f t="shared" si="107"/>
        <v>162426</v>
      </c>
      <c r="S1235" s="219">
        <f t="shared" si="105"/>
        <v>100.28648695372988</v>
      </c>
    </row>
    <row r="1236" spans="2:19" x14ac:dyDescent="0.2">
      <c r="B1236" s="78">
        <f t="shared" si="106"/>
        <v>663</v>
      </c>
      <c r="C1236" s="7"/>
      <c r="D1236" s="7"/>
      <c r="E1236" s="7"/>
      <c r="F1236" s="24" t="s">
        <v>87</v>
      </c>
      <c r="G1236" s="7">
        <v>610</v>
      </c>
      <c r="H1236" s="7" t="s">
        <v>143</v>
      </c>
      <c r="I1236" s="22">
        <f>22533+1733-3600</f>
        <v>20666</v>
      </c>
      <c r="J1236" s="22">
        <v>20666</v>
      </c>
      <c r="K1236" s="218">
        <f t="shared" si="104"/>
        <v>100</v>
      </c>
      <c r="L1236" s="278"/>
      <c r="M1236" s="284"/>
      <c r="N1236" s="22"/>
      <c r="O1236" s="218"/>
      <c r="P1236" s="278"/>
      <c r="Q1236" s="284">
        <f t="shared" si="107"/>
        <v>20666</v>
      </c>
      <c r="R1236" s="22">
        <f t="shared" si="107"/>
        <v>20666</v>
      </c>
      <c r="S1236" s="219">
        <f t="shared" si="105"/>
        <v>100</v>
      </c>
    </row>
    <row r="1237" spans="2:19" x14ac:dyDescent="0.2">
      <c r="B1237" s="78">
        <f t="shared" si="106"/>
        <v>664</v>
      </c>
      <c r="C1237" s="7"/>
      <c r="D1237" s="7"/>
      <c r="E1237" s="7"/>
      <c r="F1237" s="24" t="s">
        <v>87</v>
      </c>
      <c r="G1237" s="7">
        <v>620</v>
      </c>
      <c r="H1237" s="7" t="s">
        <v>136</v>
      </c>
      <c r="I1237" s="22">
        <f>8094+608-1200</f>
        <v>7502</v>
      </c>
      <c r="J1237" s="22">
        <v>7502</v>
      </c>
      <c r="K1237" s="218">
        <f t="shared" si="104"/>
        <v>100</v>
      </c>
      <c r="L1237" s="278"/>
      <c r="M1237" s="284"/>
      <c r="N1237" s="22"/>
      <c r="O1237" s="218"/>
      <c r="P1237" s="278"/>
      <c r="Q1237" s="284">
        <f t="shared" si="107"/>
        <v>7502</v>
      </c>
      <c r="R1237" s="22">
        <f t="shared" si="107"/>
        <v>7502</v>
      </c>
      <c r="S1237" s="219">
        <f t="shared" si="105"/>
        <v>100</v>
      </c>
    </row>
    <row r="1238" spans="2:19" x14ac:dyDescent="0.2">
      <c r="B1238" s="78">
        <f t="shared" si="106"/>
        <v>665</v>
      </c>
      <c r="C1238" s="7"/>
      <c r="D1238" s="7"/>
      <c r="E1238" s="7"/>
      <c r="F1238" s="24" t="s">
        <v>87</v>
      </c>
      <c r="G1238" s="7">
        <v>630</v>
      </c>
      <c r="H1238" s="7" t="s">
        <v>133</v>
      </c>
      <c r="I1238" s="22">
        <f>SUM(I1239:I1242)</f>
        <v>51098</v>
      </c>
      <c r="J1238" s="22">
        <f>SUM(J1239:J1242)</f>
        <v>50267</v>
      </c>
      <c r="K1238" s="218">
        <f t="shared" si="104"/>
        <v>98.373713256878943</v>
      </c>
      <c r="L1238" s="278"/>
      <c r="M1238" s="284"/>
      <c r="N1238" s="22"/>
      <c r="O1238" s="218"/>
      <c r="P1238" s="278"/>
      <c r="Q1238" s="284">
        <f t="shared" si="107"/>
        <v>51098</v>
      </c>
      <c r="R1238" s="22">
        <f t="shared" si="107"/>
        <v>50267</v>
      </c>
      <c r="S1238" s="219">
        <f t="shared" si="105"/>
        <v>98.373713256878943</v>
      </c>
    </row>
    <row r="1239" spans="2:19" x14ac:dyDescent="0.2">
      <c r="B1239" s="78">
        <f t="shared" si="106"/>
        <v>666</v>
      </c>
      <c r="C1239" s="3"/>
      <c r="D1239" s="3"/>
      <c r="E1239" s="3"/>
      <c r="F1239" s="25" t="s">
        <v>87</v>
      </c>
      <c r="G1239" s="3">
        <v>632</v>
      </c>
      <c r="H1239" s="3" t="s">
        <v>146</v>
      </c>
      <c r="I1239" s="18">
        <f>9130+3200</f>
        <v>12330</v>
      </c>
      <c r="J1239" s="18">
        <v>12330</v>
      </c>
      <c r="K1239" s="218">
        <f t="shared" si="104"/>
        <v>100</v>
      </c>
      <c r="L1239" s="279"/>
      <c r="M1239" s="285"/>
      <c r="N1239" s="18"/>
      <c r="O1239" s="218"/>
      <c r="P1239" s="279"/>
      <c r="Q1239" s="285">
        <f t="shared" si="107"/>
        <v>12330</v>
      </c>
      <c r="R1239" s="18">
        <f t="shared" si="107"/>
        <v>12330</v>
      </c>
      <c r="S1239" s="219">
        <f t="shared" si="105"/>
        <v>100</v>
      </c>
    </row>
    <row r="1240" spans="2:19" x14ac:dyDescent="0.2">
      <c r="B1240" s="78">
        <f t="shared" si="106"/>
        <v>667</v>
      </c>
      <c r="C1240" s="3"/>
      <c r="D1240" s="3"/>
      <c r="E1240" s="3"/>
      <c r="F1240" s="25" t="s">
        <v>87</v>
      </c>
      <c r="G1240" s="3">
        <v>633</v>
      </c>
      <c r="H1240" s="3" t="s">
        <v>137</v>
      </c>
      <c r="I1240" s="18">
        <f>33800-250+718</f>
        <v>34268</v>
      </c>
      <c r="J1240" s="18">
        <v>33437</v>
      </c>
      <c r="K1240" s="218">
        <f t="shared" si="104"/>
        <v>97.574997081825614</v>
      </c>
      <c r="L1240" s="279"/>
      <c r="M1240" s="285"/>
      <c r="N1240" s="18"/>
      <c r="O1240" s="218"/>
      <c r="P1240" s="279"/>
      <c r="Q1240" s="285">
        <f t="shared" si="107"/>
        <v>34268</v>
      </c>
      <c r="R1240" s="18">
        <f t="shared" si="107"/>
        <v>33437</v>
      </c>
      <c r="S1240" s="219">
        <f t="shared" si="105"/>
        <v>97.574997081825614</v>
      </c>
    </row>
    <row r="1241" spans="2:19" x14ac:dyDescent="0.2">
      <c r="B1241" s="78">
        <f t="shared" si="106"/>
        <v>668</v>
      </c>
      <c r="C1241" s="3"/>
      <c r="D1241" s="3"/>
      <c r="E1241" s="3"/>
      <c r="F1241" s="25" t="s">
        <v>87</v>
      </c>
      <c r="G1241" s="3">
        <v>635</v>
      </c>
      <c r="H1241" s="3" t="s">
        <v>145</v>
      </c>
      <c r="I1241" s="18">
        <v>1700</v>
      </c>
      <c r="J1241" s="18">
        <v>1700</v>
      </c>
      <c r="K1241" s="218">
        <f t="shared" si="104"/>
        <v>100</v>
      </c>
      <c r="L1241" s="279"/>
      <c r="M1241" s="285"/>
      <c r="N1241" s="18"/>
      <c r="O1241" s="218"/>
      <c r="P1241" s="279"/>
      <c r="Q1241" s="285">
        <f t="shared" si="107"/>
        <v>1700</v>
      </c>
      <c r="R1241" s="18">
        <f t="shared" si="107"/>
        <v>1700</v>
      </c>
      <c r="S1241" s="219">
        <f t="shared" si="105"/>
        <v>100</v>
      </c>
    </row>
    <row r="1242" spans="2:19" x14ac:dyDescent="0.2">
      <c r="B1242" s="78">
        <f t="shared" si="106"/>
        <v>669</v>
      </c>
      <c r="C1242" s="3"/>
      <c r="D1242" s="3"/>
      <c r="E1242" s="3"/>
      <c r="F1242" s="25" t="s">
        <v>87</v>
      </c>
      <c r="G1242" s="3">
        <v>637</v>
      </c>
      <c r="H1242" s="3" t="s">
        <v>134</v>
      </c>
      <c r="I1242" s="18">
        <f>2050+750</f>
        <v>2800</v>
      </c>
      <c r="J1242" s="18">
        <v>2800</v>
      </c>
      <c r="K1242" s="218">
        <f t="shared" si="104"/>
        <v>100</v>
      </c>
      <c r="L1242" s="279"/>
      <c r="M1242" s="285"/>
      <c r="N1242" s="18"/>
      <c r="O1242" s="218"/>
      <c r="P1242" s="279"/>
      <c r="Q1242" s="285">
        <f t="shared" si="107"/>
        <v>2800</v>
      </c>
      <c r="R1242" s="18">
        <f t="shared" si="107"/>
        <v>2800</v>
      </c>
      <c r="S1242" s="219">
        <f t="shared" si="105"/>
        <v>100</v>
      </c>
    </row>
    <row r="1243" spans="2:19" x14ac:dyDescent="0.2">
      <c r="B1243" s="78">
        <f t="shared" si="106"/>
        <v>670</v>
      </c>
      <c r="C1243" s="3"/>
      <c r="D1243" s="3"/>
      <c r="E1243" s="3"/>
      <c r="F1243" s="29" t="s">
        <v>87</v>
      </c>
      <c r="G1243" s="2">
        <v>640</v>
      </c>
      <c r="H1243" s="2" t="s">
        <v>141</v>
      </c>
      <c r="I1243" s="17">
        <v>132</v>
      </c>
      <c r="J1243" s="17">
        <v>132</v>
      </c>
      <c r="K1243" s="218">
        <f t="shared" si="104"/>
        <v>100</v>
      </c>
      <c r="L1243" s="278"/>
      <c r="M1243" s="289"/>
      <c r="N1243" s="17"/>
      <c r="O1243" s="218"/>
      <c r="P1243" s="278"/>
      <c r="Q1243" s="289"/>
      <c r="R1243" s="17">
        <f t="shared" si="107"/>
        <v>132</v>
      </c>
      <c r="S1243" s="219"/>
    </row>
    <row r="1244" spans="2:19" x14ac:dyDescent="0.2">
      <c r="B1244" s="78">
        <f t="shared" si="106"/>
        <v>671</v>
      </c>
      <c r="C1244" s="7"/>
      <c r="D1244" s="7"/>
      <c r="E1244" s="7"/>
      <c r="F1244" s="24" t="s">
        <v>55</v>
      </c>
      <c r="G1244" s="7">
        <v>610</v>
      </c>
      <c r="H1244" s="7" t="s">
        <v>143</v>
      </c>
      <c r="I1244" s="22">
        <f>22533+1733-3600</f>
        <v>20666</v>
      </c>
      <c r="J1244" s="22">
        <v>20666</v>
      </c>
      <c r="K1244" s="218">
        <f t="shared" si="104"/>
        <v>100</v>
      </c>
      <c r="L1244" s="278"/>
      <c r="M1244" s="284"/>
      <c r="N1244" s="22"/>
      <c r="O1244" s="218"/>
      <c r="P1244" s="278"/>
      <c r="Q1244" s="284">
        <f t="shared" si="107"/>
        <v>20666</v>
      </c>
      <c r="R1244" s="22">
        <f t="shared" si="107"/>
        <v>20666</v>
      </c>
      <c r="S1244" s="219">
        <f t="shared" si="105"/>
        <v>100</v>
      </c>
    </row>
    <row r="1245" spans="2:19" x14ac:dyDescent="0.2">
      <c r="B1245" s="78">
        <f t="shared" si="106"/>
        <v>672</v>
      </c>
      <c r="C1245" s="7"/>
      <c r="D1245" s="7"/>
      <c r="E1245" s="7"/>
      <c r="F1245" s="24" t="s">
        <v>55</v>
      </c>
      <c r="G1245" s="7">
        <v>620</v>
      </c>
      <c r="H1245" s="7" t="s">
        <v>136</v>
      </c>
      <c r="I1245" s="22">
        <f>8094+608-1200</f>
        <v>7502</v>
      </c>
      <c r="J1245" s="22">
        <v>7502</v>
      </c>
      <c r="K1245" s="218">
        <f t="shared" si="104"/>
        <v>100</v>
      </c>
      <c r="L1245" s="278"/>
      <c r="M1245" s="284"/>
      <c r="N1245" s="22"/>
      <c r="O1245" s="218"/>
      <c r="P1245" s="278"/>
      <c r="Q1245" s="284">
        <f t="shared" si="107"/>
        <v>7502</v>
      </c>
      <c r="R1245" s="22">
        <f t="shared" si="107"/>
        <v>7502</v>
      </c>
      <c r="S1245" s="219">
        <f t="shared" si="105"/>
        <v>100</v>
      </c>
    </row>
    <row r="1246" spans="2:19" x14ac:dyDescent="0.2">
      <c r="B1246" s="78">
        <f t="shared" si="106"/>
        <v>673</v>
      </c>
      <c r="C1246" s="7"/>
      <c r="D1246" s="7"/>
      <c r="E1246" s="7"/>
      <c r="F1246" s="24" t="s">
        <v>55</v>
      </c>
      <c r="G1246" s="7">
        <v>630</v>
      </c>
      <c r="H1246" s="7" t="s">
        <v>133</v>
      </c>
      <c r="I1246" s="22">
        <f>SUM(I1247:I1250)</f>
        <v>51598</v>
      </c>
      <c r="J1246" s="22">
        <f>SUM(J1247:J1250)</f>
        <v>52893</v>
      </c>
      <c r="K1246" s="218">
        <f t="shared" si="104"/>
        <v>102.50978720105431</v>
      </c>
      <c r="L1246" s="278"/>
      <c r="M1246" s="284"/>
      <c r="N1246" s="22"/>
      <c r="O1246" s="218"/>
      <c r="P1246" s="278"/>
      <c r="Q1246" s="284">
        <f t="shared" si="107"/>
        <v>51598</v>
      </c>
      <c r="R1246" s="22">
        <f t="shared" si="107"/>
        <v>52893</v>
      </c>
      <c r="S1246" s="219">
        <f t="shared" si="105"/>
        <v>102.50978720105431</v>
      </c>
    </row>
    <row r="1247" spans="2:19" x14ac:dyDescent="0.2">
      <c r="B1247" s="78">
        <f t="shared" si="106"/>
        <v>674</v>
      </c>
      <c r="C1247" s="3"/>
      <c r="D1247" s="3"/>
      <c r="E1247" s="3"/>
      <c r="F1247" s="25" t="s">
        <v>55</v>
      </c>
      <c r="G1247" s="3">
        <v>632</v>
      </c>
      <c r="H1247" s="3" t="s">
        <v>146</v>
      </c>
      <c r="I1247" s="18">
        <f>9130+3200</f>
        <v>12330</v>
      </c>
      <c r="J1247" s="18">
        <v>12330</v>
      </c>
      <c r="K1247" s="218">
        <f t="shared" si="104"/>
        <v>100</v>
      </c>
      <c r="L1247" s="279"/>
      <c r="M1247" s="285"/>
      <c r="N1247" s="18"/>
      <c r="O1247" s="218"/>
      <c r="P1247" s="279"/>
      <c r="Q1247" s="285">
        <f t="shared" si="107"/>
        <v>12330</v>
      </c>
      <c r="R1247" s="18">
        <f t="shared" si="107"/>
        <v>12330</v>
      </c>
      <c r="S1247" s="219">
        <f t="shared" si="105"/>
        <v>100</v>
      </c>
    </row>
    <row r="1248" spans="2:19" x14ac:dyDescent="0.2">
      <c r="B1248" s="78">
        <f t="shared" si="106"/>
        <v>675</v>
      </c>
      <c r="C1248" s="3"/>
      <c r="D1248" s="3"/>
      <c r="E1248" s="3"/>
      <c r="F1248" s="25" t="s">
        <v>55</v>
      </c>
      <c r="G1248" s="3">
        <v>633</v>
      </c>
      <c r="H1248" s="3" t="s">
        <v>137</v>
      </c>
      <c r="I1248" s="18">
        <f>33800-250+718</f>
        <v>34268</v>
      </c>
      <c r="J1248" s="18">
        <v>33437</v>
      </c>
      <c r="K1248" s="218">
        <f t="shared" si="104"/>
        <v>97.574997081825614</v>
      </c>
      <c r="L1248" s="279"/>
      <c r="M1248" s="285"/>
      <c r="N1248" s="18"/>
      <c r="O1248" s="218"/>
      <c r="P1248" s="279"/>
      <c r="Q1248" s="285">
        <f t="shared" si="107"/>
        <v>34268</v>
      </c>
      <c r="R1248" s="18">
        <f t="shared" si="107"/>
        <v>33437</v>
      </c>
      <c r="S1248" s="219">
        <f t="shared" si="105"/>
        <v>97.574997081825614</v>
      </c>
    </row>
    <row r="1249" spans="2:19" x14ac:dyDescent="0.2">
      <c r="B1249" s="78">
        <f t="shared" si="106"/>
        <v>676</v>
      </c>
      <c r="C1249" s="3"/>
      <c r="D1249" s="3"/>
      <c r="E1249" s="3"/>
      <c r="F1249" s="25" t="s">
        <v>55</v>
      </c>
      <c r="G1249" s="3">
        <v>635</v>
      </c>
      <c r="H1249" s="3" t="s">
        <v>145</v>
      </c>
      <c r="I1249" s="18">
        <v>1700</v>
      </c>
      <c r="J1249" s="18">
        <v>1700</v>
      </c>
      <c r="K1249" s="218">
        <f t="shared" si="104"/>
        <v>100</v>
      </c>
      <c r="L1249" s="279"/>
      <c r="M1249" s="285"/>
      <c r="N1249" s="18"/>
      <c r="O1249" s="218"/>
      <c r="P1249" s="279"/>
      <c r="Q1249" s="285">
        <f t="shared" si="107"/>
        <v>1700</v>
      </c>
      <c r="R1249" s="18">
        <f t="shared" si="107"/>
        <v>1700</v>
      </c>
      <c r="S1249" s="219">
        <f t="shared" si="105"/>
        <v>100</v>
      </c>
    </row>
    <row r="1250" spans="2:19" x14ac:dyDescent="0.2">
      <c r="B1250" s="78">
        <f t="shared" si="106"/>
        <v>677</v>
      </c>
      <c r="C1250" s="3"/>
      <c r="D1250" s="3"/>
      <c r="E1250" s="3"/>
      <c r="F1250" s="25" t="s">
        <v>55</v>
      </c>
      <c r="G1250" s="3">
        <v>637</v>
      </c>
      <c r="H1250" s="3" t="s">
        <v>134</v>
      </c>
      <c r="I1250" s="18">
        <f>2050+500+750</f>
        <v>3300</v>
      </c>
      <c r="J1250" s="18">
        <v>5426</v>
      </c>
      <c r="K1250" s="218">
        <f t="shared" si="104"/>
        <v>164.42424242424244</v>
      </c>
      <c r="L1250" s="279"/>
      <c r="M1250" s="285"/>
      <c r="N1250" s="18"/>
      <c r="O1250" s="218"/>
      <c r="P1250" s="279"/>
      <c r="Q1250" s="285">
        <f t="shared" si="107"/>
        <v>3300</v>
      </c>
      <c r="R1250" s="18">
        <f t="shared" si="107"/>
        <v>5426</v>
      </c>
      <c r="S1250" s="219">
        <f t="shared" si="105"/>
        <v>164.42424242424244</v>
      </c>
    </row>
    <row r="1251" spans="2:19" x14ac:dyDescent="0.2">
      <c r="B1251" s="78">
        <f t="shared" si="106"/>
        <v>678</v>
      </c>
      <c r="C1251" s="3"/>
      <c r="D1251" s="3"/>
      <c r="E1251" s="3"/>
      <c r="F1251" s="29" t="s">
        <v>87</v>
      </c>
      <c r="G1251" s="2">
        <v>640</v>
      </c>
      <c r="H1251" s="2" t="s">
        <v>141</v>
      </c>
      <c r="I1251" s="17">
        <v>132</v>
      </c>
      <c r="J1251" s="17">
        <v>132</v>
      </c>
      <c r="K1251" s="218">
        <f t="shared" si="104"/>
        <v>100</v>
      </c>
      <c r="L1251" s="278"/>
      <c r="M1251" s="289"/>
      <c r="N1251" s="17"/>
      <c r="O1251" s="218"/>
      <c r="P1251" s="278"/>
      <c r="Q1251" s="289"/>
      <c r="R1251" s="17">
        <f t="shared" si="107"/>
        <v>132</v>
      </c>
      <c r="S1251" s="219"/>
    </row>
    <row r="1252" spans="2:19" x14ac:dyDescent="0.2">
      <c r="B1252" s="78">
        <f t="shared" si="106"/>
        <v>679</v>
      </c>
      <c r="C1252" s="3"/>
      <c r="D1252" s="3"/>
      <c r="E1252" s="3"/>
      <c r="F1252" s="158" t="s">
        <v>87</v>
      </c>
      <c r="G1252" s="159">
        <v>710</v>
      </c>
      <c r="H1252" s="7" t="s">
        <v>188</v>
      </c>
      <c r="I1252" s="18"/>
      <c r="J1252" s="18"/>
      <c r="K1252" s="218"/>
      <c r="L1252" s="279"/>
      <c r="M1252" s="289">
        <f>M1253</f>
        <v>2666</v>
      </c>
      <c r="N1252" s="17">
        <f>N1253</f>
        <v>2666</v>
      </c>
      <c r="O1252" s="218">
        <f t="shared" si="108"/>
        <v>100</v>
      </c>
      <c r="P1252" s="278"/>
      <c r="Q1252" s="289">
        <f t="shared" si="107"/>
        <v>2666</v>
      </c>
      <c r="R1252" s="17">
        <f t="shared" si="107"/>
        <v>2666</v>
      </c>
      <c r="S1252" s="219">
        <f t="shared" si="105"/>
        <v>100</v>
      </c>
    </row>
    <row r="1253" spans="2:19" x14ac:dyDescent="0.2">
      <c r="B1253" s="78">
        <f t="shared" si="106"/>
        <v>680</v>
      </c>
      <c r="C1253" s="3"/>
      <c r="D1253" s="3"/>
      <c r="E1253" s="3"/>
      <c r="F1253" s="160" t="s">
        <v>87</v>
      </c>
      <c r="G1253" s="161">
        <v>713</v>
      </c>
      <c r="H1253" s="3" t="s">
        <v>234</v>
      </c>
      <c r="I1253" s="18"/>
      <c r="J1253" s="18"/>
      <c r="K1253" s="218"/>
      <c r="L1253" s="279"/>
      <c r="M1253" s="285">
        <f>M1254</f>
        <v>2666</v>
      </c>
      <c r="N1253" s="18">
        <f>N1254</f>
        <v>2666</v>
      </c>
      <c r="O1253" s="218">
        <f t="shared" si="108"/>
        <v>100</v>
      </c>
      <c r="P1253" s="279"/>
      <c r="Q1253" s="285">
        <f t="shared" si="107"/>
        <v>2666</v>
      </c>
      <c r="R1253" s="18">
        <f t="shared" si="107"/>
        <v>2666</v>
      </c>
      <c r="S1253" s="219">
        <f t="shared" si="105"/>
        <v>100</v>
      </c>
    </row>
    <row r="1254" spans="2:19" x14ac:dyDescent="0.2">
      <c r="B1254" s="78">
        <f t="shared" si="106"/>
        <v>681</v>
      </c>
      <c r="C1254" s="3"/>
      <c r="D1254" s="3"/>
      <c r="E1254" s="3"/>
      <c r="F1254" s="160"/>
      <c r="G1254" s="161"/>
      <c r="H1254" s="4" t="s">
        <v>514</v>
      </c>
      <c r="I1254" s="18"/>
      <c r="J1254" s="18"/>
      <c r="K1254" s="218"/>
      <c r="L1254" s="279"/>
      <c r="M1254" s="344">
        <f>1700+966</f>
        <v>2666</v>
      </c>
      <c r="N1254" s="162">
        <v>2666</v>
      </c>
      <c r="O1254" s="218">
        <f t="shared" si="108"/>
        <v>100</v>
      </c>
      <c r="P1254" s="342"/>
      <c r="Q1254" s="344">
        <f t="shared" si="107"/>
        <v>2666</v>
      </c>
      <c r="R1254" s="162">
        <f t="shared" si="107"/>
        <v>2666</v>
      </c>
      <c r="S1254" s="219">
        <f t="shared" si="105"/>
        <v>100</v>
      </c>
    </row>
    <row r="1255" spans="2:19" ht="15" x14ac:dyDescent="0.25">
      <c r="B1255" s="78">
        <f t="shared" si="106"/>
        <v>682</v>
      </c>
      <c r="C1255" s="10"/>
      <c r="D1255" s="10"/>
      <c r="E1255" s="10">
        <v>10</v>
      </c>
      <c r="F1255" s="27"/>
      <c r="G1255" s="10"/>
      <c r="H1255" s="10" t="s">
        <v>2</v>
      </c>
      <c r="I1255" s="37">
        <f>I1256+I1257+I1258+I1264+I1265+I1266+I1267</f>
        <v>283990</v>
      </c>
      <c r="J1255" s="37">
        <f>J1256+J1257+J1258+J1264+J1265+J1266+J1267</f>
        <v>287523</v>
      </c>
      <c r="K1255" s="218">
        <f t="shared" si="104"/>
        <v>101.24405788936231</v>
      </c>
      <c r="L1255" s="295"/>
      <c r="M1255" s="299">
        <v>0</v>
      </c>
      <c r="N1255" s="37">
        <v>0</v>
      </c>
      <c r="O1255" s="218"/>
      <c r="P1255" s="295"/>
      <c r="Q1255" s="299">
        <f t="shared" si="107"/>
        <v>283990</v>
      </c>
      <c r="R1255" s="37">
        <f t="shared" si="107"/>
        <v>287523</v>
      </c>
      <c r="S1255" s="219">
        <f t="shared" si="105"/>
        <v>101.24405788936231</v>
      </c>
    </row>
    <row r="1256" spans="2:19" x14ac:dyDescent="0.2">
      <c r="B1256" s="78">
        <f t="shared" si="106"/>
        <v>683</v>
      </c>
      <c r="C1256" s="7"/>
      <c r="D1256" s="7"/>
      <c r="E1256" s="7"/>
      <c r="F1256" s="24" t="s">
        <v>87</v>
      </c>
      <c r="G1256" s="7">
        <v>610</v>
      </c>
      <c r="H1256" s="7" t="s">
        <v>143</v>
      </c>
      <c r="I1256" s="22">
        <f>32490+5616-4810+70</f>
        <v>33366</v>
      </c>
      <c r="J1256" s="22">
        <v>33366</v>
      </c>
      <c r="K1256" s="218">
        <f t="shared" si="104"/>
        <v>100</v>
      </c>
      <c r="L1256" s="278"/>
      <c r="M1256" s="284"/>
      <c r="N1256" s="22"/>
      <c r="O1256" s="218"/>
      <c r="P1256" s="278"/>
      <c r="Q1256" s="284">
        <f t="shared" si="107"/>
        <v>33366</v>
      </c>
      <c r="R1256" s="22">
        <f t="shared" si="107"/>
        <v>33366</v>
      </c>
      <c r="S1256" s="219">
        <f t="shared" si="105"/>
        <v>100</v>
      </c>
    </row>
    <row r="1257" spans="2:19" x14ac:dyDescent="0.2">
      <c r="B1257" s="78">
        <f t="shared" si="106"/>
        <v>684</v>
      </c>
      <c r="C1257" s="7"/>
      <c r="D1257" s="7"/>
      <c r="E1257" s="7"/>
      <c r="F1257" s="24" t="s">
        <v>87</v>
      </c>
      <c r="G1257" s="7">
        <v>620</v>
      </c>
      <c r="H1257" s="7" t="s">
        <v>136</v>
      </c>
      <c r="I1257" s="22">
        <f>11356+1946-1690+25</f>
        <v>11637</v>
      </c>
      <c r="J1257" s="22">
        <v>11637</v>
      </c>
      <c r="K1257" s="218">
        <f t="shared" si="104"/>
        <v>100</v>
      </c>
      <c r="L1257" s="278"/>
      <c r="M1257" s="284"/>
      <c r="N1257" s="22"/>
      <c r="O1257" s="218"/>
      <c r="P1257" s="278"/>
      <c r="Q1257" s="284">
        <f t="shared" si="107"/>
        <v>11637</v>
      </c>
      <c r="R1257" s="22">
        <f t="shared" si="107"/>
        <v>11637</v>
      </c>
      <c r="S1257" s="219">
        <f t="shared" si="105"/>
        <v>100</v>
      </c>
    </row>
    <row r="1258" spans="2:19" x14ac:dyDescent="0.2">
      <c r="B1258" s="78">
        <f t="shared" si="106"/>
        <v>685</v>
      </c>
      <c r="C1258" s="7"/>
      <c r="D1258" s="7"/>
      <c r="E1258" s="7"/>
      <c r="F1258" s="24" t="s">
        <v>87</v>
      </c>
      <c r="G1258" s="7">
        <v>630</v>
      </c>
      <c r="H1258" s="7" t="s">
        <v>133</v>
      </c>
      <c r="I1258" s="22">
        <f>SUM(I1259:I1263)</f>
        <v>79046</v>
      </c>
      <c r="J1258" s="22">
        <f>SUM(J1259:J1263)</f>
        <v>74231</v>
      </c>
      <c r="K1258" s="218">
        <f t="shared" si="104"/>
        <v>93.908610176353008</v>
      </c>
      <c r="L1258" s="278"/>
      <c r="M1258" s="284"/>
      <c r="N1258" s="22"/>
      <c r="O1258" s="218"/>
      <c r="P1258" s="278"/>
      <c r="Q1258" s="284">
        <f t="shared" si="107"/>
        <v>79046</v>
      </c>
      <c r="R1258" s="22">
        <f t="shared" si="107"/>
        <v>74231</v>
      </c>
      <c r="S1258" s="219">
        <f t="shared" si="105"/>
        <v>93.908610176353008</v>
      </c>
    </row>
    <row r="1259" spans="2:19" x14ac:dyDescent="0.2">
      <c r="B1259" s="78">
        <f t="shared" si="106"/>
        <v>686</v>
      </c>
      <c r="C1259" s="3"/>
      <c r="D1259" s="3"/>
      <c r="E1259" s="3"/>
      <c r="F1259" s="25" t="s">
        <v>87</v>
      </c>
      <c r="G1259" s="3">
        <v>632</v>
      </c>
      <c r="H1259" s="3" t="s">
        <v>146</v>
      </c>
      <c r="I1259" s="18">
        <f>16050-5000+8000</f>
        <v>19050</v>
      </c>
      <c r="J1259" s="18">
        <v>19050</v>
      </c>
      <c r="K1259" s="218">
        <f t="shared" si="104"/>
        <v>100</v>
      </c>
      <c r="L1259" s="279"/>
      <c r="M1259" s="285"/>
      <c r="N1259" s="18"/>
      <c r="O1259" s="218"/>
      <c r="P1259" s="279"/>
      <c r="Q1259" s="285">
        <f t="shared" si="107"/>
        <v>19050</v>
      </c>
      <c r="R1259" s="18">
        <f t="shared" si="107"/>
        <v>19050</v>
      </c>
      <c r="S1259" s="219">
        <f t="shared" si="105"/>
        <v>100</v>
      </c>
    </row>
    <row r="1260" spans="2:19" x14ac:dyDescent="0.2">
      <c r="B1260" s="78">
        <f t="shared" si="106"/>
        <v>687</v>
      </c>
      <c r="C1260" s="3"/>
      <c r="D1260" s="3"/>
      <c r="E1260" s="3"/>
      <c r="F1260" s="25" t="s">
        <v>87</v>
      </c>
      <c r="G1260" s="3">
        <v>633</v>
      </c>
      <c r="H1260" s="3" t="s">
        <v>137</v>
      </c>
      <c r="I1260" s="19">
        <f>43000+8592</f>
        <v>51592</v>
      </c>
      <c r="J1260" s="19">
        <v>46777</v>
      </c>
      <c r="K1260" s="218">
        <f t="shared" si="104"/>
        <v>90.667157698868039</v>
      </c>
      <c r="L1260" s="279"/>
      <c r="M1260" s="285"/>
      <c r="N1260" s="18"/>
      <c r="O1260" s="218"/>
      <c r="P1260" s="279"/>
      <c r="Q1260" s="285">
        <f t="shared" si="107"/>
        <v>51592</v>
      </c>
      <c r="R1260" s="18">
        <f t="shared" si="107"/>
        <v>46777</v>
      </c>
      <c r="S1260" s="219">
        <f t="shared" si="105"/>
        <v>90.667157698868039</v>
      </c>
    </row>
    <row r="1261" spans="2:19" x14ac:dyDescent="0.2">
      <c r="B1261" s="78">
        <f t="shared" si="106"/>
        <v>688</v>
      </c>
      <c r="C1261" s="3"/>
      <c r="D1261" s="3"/>
      <c r="E1261" s="3"/>
      <c r="F1261" s="25" t="s">
        <v>87</v>
      </c>
      <c r="G1261" s="3">
        <v>635</v>
      </c>
      <c r="H1261" s="3" t="s">
        <v>145</v>
      </c>
      <c r="I1261" s="18">
        <f>3620+2500-3929</f>
        <v>2191</v>
      </c>
      <c r="J1261" s="18">
        <v>2191</v>
      </c>
      <c r="K1261" s="218">
        <f t="shared" si="104"/>
        <v>100</v>
      </c>
      <c r="L1261" s="279"/>
      <c r="M1261" s="285"/>
      <c r="N1261" s="18"/>
      <c r="O1261" s="218"/>
      <c r="P1261" s="279"/>
      <c r="Q1261" s="285">
        <f t="shared" si="107"/>
        <v>2191</v>
      </c>
      <c r="R1261" s="18">
        <f t="shared" si="107"/>
        <v>2191</v>
      </c>
      <c r="S1261" s="219">
        <f t="shared" si="105"/>
        <v>100</v>
      </c>
    </row>
    <row r="1262" spans="2:19" x14ac:dyDescent="0.2">
      <c r="B1262" s="78">
        <f t="shared" si="106"/>
        <v>689</v>
      </c>
      <c r="C1262" s="3"/>
      <c r="D1262" s="3"/>
      <c r="E1262" s="3"/>
      <c r="F1262" s="25" t="s">
        <v>87</v>
      </c>
      <c r="G1262" s="3">
        <v>636</v>
      </c>
      <c r="H1262" s="3" t="s">
        <v>138</v>
      </c>
      <c r="I1262" s="18">
        <v>493</v>
      </c>
      <c r="J1262" s="18">
        <v>493</v>
      </c>
      <c r="K1262" s="218">
        <f t="shared" si="104"/>
        <v>100</v>
      </c>
      <c r="L1262" s="279"/>
      <c r="M1262" s="285"/>
      <c r="N1262" s="18"/>
      <c r="O1262" s="218"/>
      <c r="P1262" s="279"/>
      <c r="Q1262" s="285"/>
      <c r="R1262" s="18">
        <f t="shared" si="107"/>
        <v>493</v>
      </c>
      <c r="S1262" s="219"/>
    </row>
    <row r="1263" spans="2:19" x14ac:dyDescent="0.2">
      <c r="B1263" s="78">
        <f t="shared" si="106"/>
        <v>690</v>
      </c>
      <c r="C1263" s="3"/>
      <c r="D1263" s="3"/>
      <c r="E1263" s="3"/>
      <c r="F1263" s="25" t="s">
        <v>87</v>
      </c>
      <c r="G1263" s="3">
        <v>637</v>
      </c>
      <c r="H1263" s="3" t="s">
        <v>134</v>
      </c>
      <c r="I1263" s="18">
        <f>5620+100</f>
        <v>5720</v>
      </c>
      <c r="J1263" s="18">
        <v>5720</v>
      </c>
      <c r="K1263" s="218">
        <f t="shared" si="104"/>
        <v>100</v>
      </c>
      <c r="L1263" s="279"/>
      <c r="M1263" s="285"/>
      <c r="N1263" s="18"/>
      <c r="O1263" s="218"/>
      <c r="P1263" s="279"/>
      <c r="Q1263" s="285">
        <f t="shared" si="107"/>
        <v>5720</v>
      </c>
      <c r="R1263" s="18">
        <f t="shared" si="107"/>
        <v>5720</v>
      </c>
      <c r="S1263" s="219">
        <f t="shared" si="105"/>
        <v>100</v>
      </c>
    </row>
    <row r="1264" spans="2:19" x14ac:dyDescent="0.2">
      <c r="B1264" s="78">
        <f t="shared" si="106"/>
        <v>691</v>
      </c>
      <c r="C1264" s="7"/>
      <c r="D1264" s="7"/>
      <c r="E1264" s="7"/>
      <c r="F1264" s="24" t="s">
        <v>87</v>
      </c>
      <c r="G1264" s="7">
        <v>640</v>
      </c>
      <c r="H1264" s="7" t="s">
        <v>141</v>
      </c>
      <c r="I1264" s="22">
        <f>250-95</f>
        <v>155</v>
      </c>
      <c r="J1264" s="22">
        <v>155</v>
      </c>
      <c r="K1264" s="218">
        <f t="shared" si="104"/>
        <v>100</v>
      </c>
      <c r="L1264" s="278"/>
      <c r="M1264" s="284"/>
      <c r="N1264" s="22"/>
      <c r="O1264" s="218"/>
      <c r="P1264" s="278"/>
      <c r="Q1264" s="284">
        <f t="shared" si="107"/>
        <v>155</v>
      </c>
      <c r="R1264" s="22">
        <f t="shared" si="107"/>
        <v>155</v>
      </c>
      <c r="S1264" s="219">
        <f t="shared" si="105"/>
        <v>100</v>
      </c>
    </row>
    <row r="1265" spans="2:19" x14ac:dyDescent="0.2">
      <c r="B1265" s="78">
        <f t="shared" si="106"/>
        <v>692</v>
      </c>
      <c r="C1265" s="7"/>
      <c r="D1265" s="7"/>
      <c r="E1265" s="7"/>
      <c r="F1265" s="24" t="s">
        <v>55</v>
      </c>
      <c r="G1265" s="7">
        <v>610</v>
      </c>
      <c r="H1265" s="7" t="s">
        <v>143</v>
      </c>
      <c r="I1265" s="22">
        <f>26550+4212+185</f>
        <v>30947</v>
      </c>
      <c r="J1265" s="22">
        <v>30947</v>
      </c>
      <c r="K1265" s="218">
        <f t="shared" si="104"/>
        <v>100</v>
      </c>
      <c r="L1265" s="278"/>
      <c r="M1265" s="284"/>
      <c r="N1265" s="22"/>
      <c r="O1265" s="218"/>
      <c r="P1265" s="278"/>
      <c r="Q1265" s="284">
        <f t="shared" si="107"/>
        <v>30947</v>
      </c>
      <c r="R1265" s="22">
        <f t="shared" si="107"/>
        <v>30947</v>
      </c>
      <c r="S1265" s="219">
        <f t="shared" si="105"/>
        <v>100</v>
      </c>
    </row>
    <row r="1266" spans="2:19" x14ac:dyDescent="0.2">
      <c r="B1266" s="78">
        <f t="shared" si="106"/>
        <v>693</v>
      </c>
      <c r="C1266" s="7"/>
      <c r="D1266" s="7"/>
      <c r="E1266" s="7"/>
      <c r="F1266" s="24" t="s">
        <v>55</v>
      </c>
      <c r="G1266" s="7">
        <v>620</v>
      </c>
      <c r="H1266" s="7" t="s">
        <v>136</v>
      </c>
      <c r="I1266" s="22">
        <f>9280+1460+65</f>
        <v>10805</v>
      </c>
      <c r="J1266" s="22">
        <v>10805</v>
      </c>
      <c r="K1266" s="218">
        <f t="shared" si="104"/>
        <v>100</v>
      </c>
      <c r="L1266" s="278"/>
      <c r="M1266" s="284"/>
      <c r="N1266" s="22"/>
      <c r="O1266" s="218"/>
      <c r="P1266" s="278"/>
      <c r="Q1266" s="284">
        <f t="shared" si="107"/>
        <v>10805</v>
      </c>
      <c r="R1266" s="22">
        <f t="shared" si="107"/>
        <v>10805</v>
      </c>
      <c r="S1266" s="219">
        <f t="shared" si="105"/>
        <v>100</v>
      </c>
    </row>
    <row r="1267" spans="2:19" x14ac:dyDescent="0.2">
      <c r="B1267" s="78">
        <f t="shared" si="106"/>
        <v>694</v>
      </c>
      <c r="C1267" s="7"/>
      <c r="D1267" s="7"/>
      <c r="E1267" s="7"/>
      <c r="F1267" s="24" t="s">
        <v>55</v>
      </c>
      <c r="G1267" s="7">
        <v>630</v>
      </c>
      <c r="H1267" s="7" t="s">
        <v>133</v>
      </c>
      <c r="I1267" s="22">
        <f>SUM(I1268:I1272)</f>
        <v>118034</v>
      </c>
      <c r="J1267" s="22">
        <f>SUM(J1268:J1272)</f>
        <v>126382</v>
      </c>
      <c r="K1267" s="218">
        <f t="shared" si="104"/>
        <v>107.07253842113289</v>
      </c>
      <c r="L1267" s="278"/>
      <c r="M1267" s="284"/>
      <c r="N1267" s="22"/>
      <c r="O1267" s="218"/>
      <c r="P1267" s="278"/>
      <c r="Q1267" s="284">
        <f t="shared" si="107"/>
        <v>118034</v>
      </c>
      <c r="R1267" s="22">
        <f t="shared" si="107"/>
        <v>126382</v>
      </c>
      <c r="S1267" s="219">
        <f t="shared" si="105"/>
        <v>107.07253842113289</v>
      </c>
    </row>
    <row r="1268" spans="2:19" x14ac:dyDescent="0.2">
      <c r="B1268" s="78">
        <f t="shared" si="106"/>
        <v>695</v>
      </c>
      <c r="C1268" s="3"/>
      <c r="D1268" s="3"/>
      <c r="E1268" s="3"/>
      <c r="F1268" s="25" t="s">
        <v>55</v>
      </c>
      <c r="G1268" s="3">
        <v>632</v>
      </c>
      <c r="H1268" s="3" t="s">
        <v>146</v>
      </c>
      <c r="I1268" s="18">
        <f>16050-5000+6000</f>
        <v>17050</v>
      </c>
      <c r="J1268" s="18">
        <v>17050</v>
      </c>
      <c r="K1268" s="218">
        <f t="shared" ref="K1268:K1331" si="109">J1268/I1268*100</f>
        <v>100</v>
      </c>
      <c r="L1268" s="279"/>
      <c r="M1268" s="285"/>
      <c r="N1268" s="18"/>
      <c r="O1268" s="218"/>
      <c r="P1268" s="279"/>
      <c r="Q1268" s="285">
        <f t="shared" si="107"/>
        <v>17050</v>
      </c>
      <c r="R1268" s="18">
        <f t="shared" si="107"/>
        <v>17050</v>
      </c>
      <c r="S1268" s="219">
        <f t="shared" ref="S1268:S1331" si="110">R1268/Q1268*100</f>
        <v>100</v>
      </c>
    </row>
    <row r="1269" spans="2:19" x14ac:dyDescent="0.2">
      <c r="B1269" s="78">
        <f t="shared" si="106"/>
        <v>696</v>
      </c>
      <c r="C1269" s="3"/>
      <c r="D1269" s="3"/>
      <c r="E1269" s="3"/>
      <c r="F1269" s="25" t="s">
        <v>55</v>
      </c>
      <c r="G1269" s="3">
        <v>633</v>
      </c>
      <c r="H1269" s="3" t="s">
        <v>137</v>
      </c>
      <c r="I1269" s="19">
        <f>43000+9465</f>
        <v>52465</v>
      </c>
      <c r="J1269" s="19">
        <v>47650</v>
      </c>
      <c r="K1269" s="218">
        <f t="shared" si="109"/>
        <v>90.822453063947393</v>
      </c>
      <c r="L1269" s="279"/>
      <c r="M1269" s="285"/>
      <c r="N1269" s="18"/>
      <c r="O1269" s="218"/>
      <c r="P1269" s="279"/>
      <c r="Q1269" s="285">
        <f t="shared" si="107"/>
        <v>52465</v>
      </c>
      <c r="R1269" s="18">
        <f t="shared" si="107"/>
        <v>47650</v>
      </c>
      <c r="S1269" s="219">
        <f t="shared" si="110"/>
        <v>90.822453063947393</v>
      </c>
    </row>
    <row r="1270" spans="2:19" x14ac:dyDescent="0.2">
      <c r="B1270" s="78">
        <f t="shared" si="106"/>
        <v>697</v>
      </c>
      <c r="C1270" s="3"/>
      <c r="D1270" s="3"/>
      <c r="E1270" s="3"/>
      <c r="F1270" s="25" t="s">
        <v>55</v>
      </c>
      <c r="G1270" s="3">
        <v>635</v>
      </c>
      <c r="H1270" s="3" t="s">
        <v>145</v>
      </c>
      <c r="I1270" s="18">
        <f>3620+30000+10000-2762</f>
        <v>40858</v>
      </c>
      <c r="J1270" s="18">
        <v>40858</v>
      </c>
      <c r="K1270" s="218">
        <f t="shared" si="109"/>
        <v>100</v>
      </c>
      <c r="L1270" s="279"/>
      <c r="M1270" s="285"/>
      <c r="N1270" s="18"/>
      <c r="O1270" s="218"/>
      <c r="P1270" s="279"/>
      <c r="Q1270" s="285">
        <f t="shared" si="107"/>
        <v>40858</v>
      </c>
      <c r="R1270" s="18">
        <f t="shared" si="107"/>
        <v>40858</v>
      </c>
      <c r="S1270" s="219">
        <f t="shared" si="110"/>
        <v>100</v>
      </c>
    </row>
    <row r="1271" spans="2:19" x14ac:dyDescent="0.2">
      <c r="B1271" s="78">
        <f t="shared" si="106"/>
        <v>698</v>
      </c>
      <c r="C1271" s="3"/>
      <c r="D1271" s="3"/>
      <c r="E1271" s="3"/>
      <c r="F1271" s="25" t="s">
        <v>55</v>
      </c>
      <c r="G1271" s="3">
        <v>636</v>
      </c>
      <c r="H1271" s="3" t="s">
        <v>138</v>
      </c>
      <c r="I1271" s="18">
        <v>493</v>
      </c>
      <c r="J1271" s="18">
        <v>493</v>
      </c>
      <c r="K1271" s="218">
        <f t="shared" si="109"/>
        <v>100</v>
      </c>
      <c r="L1271" s="279"/>
      <c r="M1271" s="285"/>
      <c r="N1271" s="18"/>
      <c r="O1271" s="218"/>
      <c r="P1271" s="279"/>
      <c r="Q1271" s="285"/>
      <c r="R1271" s="18">
        <f t="shared" si="107"/>
        <v>493</v>
      </c>
      <c r="S1271" s="219"/>
    </row>
    <row r="1272" spans="2:19" x14ac:dyDescent="0.2">
      <c r="B1272" s="78">
        <f t="shared" si="106"/>
        <v>699</v>
      </c>
      <c r="C1272" s="3"/>
      <c r="D1272" s="3"/>
      <c r="E1272" s="3"/>
      <c r="F1272" s="25" t="s">
        <v>55</v>
      </c>
      <c r="G1272" s="3">
        <v>637</v>
      </c>
      <c r="H1272" s="3" t="s">
        <v>134</v>
      </c>
      <c r="I1272" s="18">
        <f>5620+1548</f>
        <v>7168</v>
      </c>
      <c r="J1272" s="18">
        <v>20331</v>
      </c>
      <c r="K1272" s="218">
        <f t="shared" si="109"/>
        <v>283.63560267857144</v>
      </c>
      <c r="L1272" s="279"/>
      <c r="M1272" s="285"/>
      <c r="N1272" s="18"/>
      <c r="O1272" s="218"/>
      <c r="P1272" s="279"/>
      <c r="Q1272" s="285">
        <f t="shared" si="107"/>
        <v>7168</v>
      </c>
      <c r="R1272" s="18">
        <f t="shared" si="107"/>
        <v>20331</v>
      </c>
      <c r="S1272" s="219">
        <f t="shared" si="110"/>
        <v>283.63560267857144</v>
      </c>
    </row>
    <row r="1273" spans="2:19" ht="15" x14ac:dyDescent="0.25">
      <c r="B1273" s="78">
        <f t="shared" si="106"/>
        <v>700</v>
      </c>
      <c r="C1273" s="10"/>
      <c r="D1273" s="10"/>
      <c r="E1273" s="10">
        <v>11</v>
      </c>
      <c r="F1273" s="27"/>
      <c r="G1273" s="10"/>
      <c r="H1273" s="10" t="s">
        <v>11</v>
      </c>
      <c r="I1273" s="37">
        <f>I1274+I1275+I1276+I1281+I1282+I1283+I1288</f>
        <v>262802</v>
      </c>
      <c r="J1273" s="37">
        <f>J1274+J1275+J1276+J1281+J1282+J1283+J1288</f>
        <v>286721</v>
      </c>
      <c r="K1273" s="218">
        <f t="shared" si="109"/>
        <v>109.10152890769476</v>
      </c>
      <c r="L1273" s="295"/>
      <c r="M1273" s="299">
        <v>0</v>
      </c>
      <c r="N1273" s="37">
        <v>0</v>
      </c>
      <c r="O1273" s="218"/>
      <c r="P1273" s="295"/>
      <c r="Q1273" s="299">
        <f t="shared" si="107"/>
        <v>262802</v>
      </c>
      <c r="R1273" s="37">
        <f t="shared" si="107"/>
        <v>286721</v>
      </c>
      <c r="S1273" s="219">
        <f t="shared" si="110"/>
        <v>109.10152890769476</v>
      </c>
    </row>
    <row r="1274" spans="2:19" x14ac:dyDescent="0.2">
      <c r="B1274" s="78">
        <f t="shared" si="106"/>
        <v>701</v>
      </c>
      <c r="C1274" s="7"/>
      <c r="D1274" s="7"/>
      <c r="E1274" s="7"/>
      <c r="F1274" s="24" t="s">
        <v>87</v>
      </c>
      <c r="G1274" s="7">
        <v>610</v>
      </c>
      <c r="H1274" s="7" t="s">
        <v>143</v>
      </c>
      <c r="I1274" s="22">
        <f>28090+3578</f>
        <v>31668</v>
      </c>
      <c r="J1274" s="22">
        <v>31668</v>
      </c>
      <c r="K1274" s="218">
        <f t="shared" si="109"/>
        <v>100</v>
      </c>
      <c r="L1274" s="278"/>
      <c r="M1274" s="284"/>
      <c r="N1274" s="22"/>
      <c r="O1274" s="218"/>
      <c r="P1274" s="278"/>
      <c r="Q1274" s="284">
        <f t="shared" si="107"/>
        <v>31668</v>
      </c>
      <c r="R1274" s="22">
        <f t="shared" si="107"/>
        <v>31668</v>
      </c>
      <c r="S1274" s="219">
        <f t="shared" si="110"/>
        <v>100</v>
      </c>
    </row>
    <row r="1275" spans="2:19" x14ac:dyDescent="0.2">
      <c r="B1275" s="78">
        <f t="shared" si="106"/>
        <v>702</v>
      </c>
      <c r="C1275" s="7"/>
      <c r="D1275" s="7"/>
      <c r="E1275" s="7"/>
      <c r="F1275" s="24" t="s">
        <v>87</v>
      </c>
      <c r="G1275" s="7">
        <v>620</v>
      </c>
      <c r="H1275" s="7" t="s">
        <v>136</v>
      </c>
      <c r="I1275" s="22">
        <f>9832+1252</f>
        <v>11084</v>
      </c>
      <c r="J1275" s="22">
        <v>11084</v>
      </c>
      <c r="K1275" s="218">
        <f t="shared" si="109"/>
        <v>100</v>
      </c>
      <c r="L1275" s="278"/>
      <c r="M1275" s="284"/>
      <c r="N1275" s="22"/>
      <c r="O1275" s="218"/>
      <c r="P1275" s="278"/>
      <c r="Q1275" s="284">
        <f t="shared" si="107"/>
        <v>11084</v>
      </c>
      <c r="R1275" s="22">
        <f t="shared" si="107"/>
        <v>11084</v>
      </c>
      <c r="S1275" s="219">
        <f t="shared" si="110"/>
        <v>100</v>
      </c>
    </row>
    <row r="1276" spans="2:19" x14ac:dyDescent="0.2">
      <c r="B1276" s="78">
        <f t="shared" si="106"/>
        <v>703</v>
      </c>
      <c r="C1276" s="7"/>
      <c r="D1276" s="7"/>
      <c r="E1276" s="7"/>
      <c r="F1276" s="24" t="s">
        <v>87</v>
      </c>
      <c r="G1276" s="7">
        <v>630</v>
      </c>
      <c r="H1276" s="7" t="s">
        <v>133</v>
      </c>
      <c r="I1276" s="22">
        <f>SUM(I1277:I1280)</f>
        <v>7400</v>
      </c>
      <c r="J1276" s="22">
        <f>SUM(J1277:J1280)</f>
        <v>7400</v>
      </c>
      <c r="K1276" s="218">
        <f t="shared" si="109"/>
        <v>100</v>
      </c>
      <c r="L1276" s="278"/>
      <c r="M1276" s="284"/>
      <c r="N1276" s="22"/>
      <c r="O1276" s="218"/>
      <c r="P1276" s="278"/>
      <c r="Q1276" s="284">
        <f t="shared" si="107"/>
        <v>7400</v>
      </c>
      <c r="R1276" s="22">
        <f t="shared" si="107"/>
        <v>7400</v>
      </c>
      <c r="S1276" s="219">
        <f t="shared" si="110"/>
        <v>100</v>
      </c>
    </row>
    <row r="1277" spans="2:19" x14ac:dyDescent="0.2">
      <c r="B1277" s="78">
        <f t="shared" si="106"/>
        <v>704</v>
      </c>
      <c r="C1277" s="3"/>
      <c r="D1277" s="3"/>
      <c r="E1277" s="3"/>
      <c r="F1277" s="25" t="s">
        <v>87</v>
      </c>
      <c r="G1277" s="3">
        <v>632</v>
      </c>
      <c r="H1277" s="3" t="s">
        <v>146</v>
      </c>
      <c r="I1277" s="18">
        <f>735+155</f>
        <v>890</v>
      </c>
      <c r="J1277" s="18">
        <v>890</v>
      </c>
      <c r="K1277" s="218">
        <f t="shared" si="109"/>
        <v>100</v>
      </c>
      <c r="L1277" s="279"/>
      <c r="M1277" s="285"/>
      <c r="N1277" s="18"/>
      <c r="O1277" s="218"/>
      <c r="P1277" s="279"/>
      <c r="Q1277" s="285">
        <f t="shared" si="107"/>
        <v>890</v>
      </c>
      <c r="R1277" s="18">
        <f t="shared" si="107"/>
        <v>890</v>
      </c>
      <c r="S1277" s="219">
        <f t="shared" si="110"/>
        <v>100</v>
      </c>
    </row>
    <row r="1278" spans="2:19" x14ac:dyDescent="0.2">
      <c r="B1278" s="78">
        <f t="shared" si="106"/>
        <v>705</v>
      </c>
      <c r="C1278" s="3"/>
      <c r="D1278" s="3"/>
      <c r="E1278" s="3"/>
      <c r="F1278" s="25" t="s">
        <v>87</v>
      </c>
      <c r="G1278" s="3">
        <v>633</v>
      </c>
      <c r="H1278" s="3" t="s">
        <v>137</v>
      </c>
      <c r="I1278" s="18">
        <f>48510-45600</f>
        <v>2910</v>
      </c>
      <c r="J1278" s="18">
        <v>2910</v>
      </c>
      <c r="K1278" s="218">
        <f t="shared" si="109"/>
        <v>100</v>
      </c>
      <c r="L1278" s="279"/>
      <c r="M1278" s="285"/>
      <c r="N1278" s="18"/>
      <c r="O1278" s="218"/>
      <c r="P1278" s="279"/>
      <c r="Q1278" s="285">
        <f t="shared" si="107"/>
        <v>2910</v>
      </c>
      <c r="R1278" s="18">
        <f t="shared" si="107"/>
        <v>2910</v>
      </c>
      <c r="S1278" s="219">
        <f t="shared" si="110"/>
        <v>100</v>
      </c>
    </row>
    <row r="1279" spans="2:19" x14ac:dyDescent="0.2">
      <c r="B1279" s="78">
        <f t="shared" si="106"/>
        <v>706</v>
      </c>
      <c r="C1279" s="3"/>
      <c r="D1279" s="3"/>
      <c r="E1279" s="3"/>
      <c r="F1279" s="25" t="s">
        <v>87</v>
      </c>
      <c r="G1279" s="3">
        <v>635</v>
      </c>
      <c r="H1279" s="3" t="s">
        <v>145</v>
      </c>
      <c r="I1279" s="18">
        <f>820-576</f>
        <v>244</v>
      </c>
      <c r="J1279" s="18">
        <v>244</v>
      </c>
      <c r="K1279" s="218">
        <f t="shared" si="109"/>
        <v>100</v>
      </c>
      <c r="L1279" s="279"/>
      <c r="M1279" s="285"/>
      <c r="N1279" s="18"/>
      <c r="O1279" s="218"/>
      <c r="P1279" s="279"/>
      <c r="Q1279" s="285">
        <f t="shared" si="107"/>
        <v>244</v>
      </c>
      <c r="R1279" s="18">
        <f t="shared" si="107"/>
        <v>244</v>
      </c>
      <c r="S1279" s="219">
        <f t="shared" si="110"/>
        <v>100</v>
      </c>
    </row>
    <row r="1280" spans="2:19" x14ac:dyDescent="0.2">
      <c r="B1280" s="78">
        <f t="shared" si="106"/>
        <v>707</v>
      </c>
      <c r="C1280" s="3"/>
      <c r="D1280" s="3"/>
      <c r="E1280" s="3"/>
      <c r="F1280" s="25" t="s">
        <v>87</v>
      </c>
      <c r="G1280" s="3">
        <v>637</v>
      </c>
      <c r="H1280" s="3" t="s">
        <v>134</v>
      </c>
      <c r="I1280" s="18">
        <f>2780+576</f>
        <v>3356</v>
      </c>
      <c r="J1280" s="18">
        <v>3356</v>
      </c>
      <c r="K1280" s="218">
        <f t="shared" si="109"/>
        <v>100</v>
      </c>
      <c r="L1280" s="279"/>
      <c r="M1280" s="285"/>
      <c r="N1280" s="18"/>
      <c r="O1280" s="218"/>
      <c r="P1280" s="279"/>
      <c r="Q1280" s="285">
        <f t="shared" si="107"/>
        <v>3356</v>
      </c>
      <c r="R1280" s="18">
        <f t="shared" si="107"/>
        <v>3356</v>
      </c>
      <c r="S1280" s="219">
        <f t="shared" si="110"/>
        <v>100</v>
      </c>
    </row>
    <row r="1281" spans="2:19" x14ac:dyDescent="0.2">
      <c r="B1281" s="78">
        <f t="shared" ref="B1281:B1344" si="111">B1280+1</f>
        <v>708</v>
      </c>
      <c r="C1281" s="7"/>
      <c r="D1281" s="7"/>
      <c r="E1281" s="7"/>
      <c r="F1281" s="24" t="s">
        <v>55</v>
      </c>
      <c r="G1281" s="7">
        <v>610</v>
      </c>
      <c r="H1281" s="7" t="s">
        <v>143</v>
      </c>
      <c r="I1281" s="22">
        <f>48046+5368-740</f>
        <v>52674</v>
      </c>
      <c r="J1281" s="22">
        <v>52674</v>
      </c>
      <c r="K1281" s="218">
        <f t="shared" si="109"/>
        <v>100</v>
      </c>
      <c r="L1281" s="278"/>
      <c r="M1281" s="284"/>
      <c r="N1281" s="22"/>
      <c r="O1281" s="218"/>
      <c r="P1281" s="278"/>
      <c r="Q1281" s="284">
        <f t="shared" si="107"/>
        <v>52674</v>
      </c>
      <c r="R1281" s="22">
        <f t="shared" si="107"/>
        <v>52674</v>
      </c>
      <c r="S1281" s="219">
        <f t="shared" si="110"/>
        <v>100</v>
      </c>
    </row>
    <row r="1282" spans="2:19" x14ac:dyDescent="0.2">
      <c r="B1282" s="78">
        <f t="shared" si="111"/>
        <v>709</v>
      </c>
      <c r="C1282" s="7"/>
      <c r="D1282" s="7"/>
      <c r="E1282" s="7"/>
      <c r="F1282" s="24" t="s">
        <v>55</v>
      </c>
      <c r="G1282" s="7">
        <v>620</v>
      </c>
      <c r="H1282" s="7" t="s">
        <v>136</v>
      </c>
      <c r="I1282" s="22">
        <f>16817+1879-260</f>
        <v>18436</v>
      </c>
      <c r="J1282" s="22">
        <v>18436</v>
      </c>
      <c r="K1282" s="218">
        <f t="shared" si="109"/>
        <v>100</v>
      </c>
      <c r="L1282" s="278"/>
      <c r="M1282" s="284"/>
      <c r="N1282" s="22"/>
      <c r="O1282" s="218"/>
      <c r="P1282" s="278"/>
      <c r="Q1282" s="284">
        <f t="shared" si="107"/>
        <v>18436</v>
      </c>
      <c r="R1282" s="22">
        <f t="shared" si="107"/>
        <v>18436</v>
      </c>
      <c r="S1282" s="219">
        <f t="shared" si="110"/>
        <v>100</v>
      </c>
    </row>
    <row r="1283" spans="2:19" x14ac:dyDescent="0.2">
      <c r="B1283" s="78">
        <f t="shared" si="111"/>
        <v>710</v>
      </c>
      <c r="C1283" s="7"/>
      <c r="D1283" s="7"/>
      <c r="E1283" s="7"/>
      <c r="F1283" s="24" t="s">
        <v>55</v>
      </c>
      <c r="G1283" s="7">
        <v>630</v>
      </c>
      <c r="H1283" s="7" t="s">
        <v>133</v>
      </c>
      <c r="I1283" s="22">
        <f>SUM(I1284:I1287)</f>
        <v>141153</v>
      </c>
      <c r="J1283" s="22">
        <f>SUM(J1284:J1287)</f>
        <v>165072</v>
      </c>
      <c r="K1283" s="218">
        <f t="shared" si="109"/>
        <v>116.9454421797624</v>
      </c>
      <c r="L1283" s="278"/>
      <c r="M1283" s="284"/>
      <c r="N1283" s="22"/>
      <c r="O1283" s="218"/>
      <c r="P1283" s="278"/>
      <c r="Q1283" s="284">
        <f t="shared" si="107"/>
        <v>141153</v>
      </c>
      <c r="R1283" s="22">
        <f t="shared" si="107"/>
        <v>165072</v>
      </c>
      <c r="S1283" s="219">
        <f t="shared" si="110"/>
        <v>116.9454421797624</v>
      </c>
    </row>
    <row r="1284" spans="2:19" x14ac:dyDescent="0.2">
      <c r="B1284" s="78">
        <f t="shared" si="111"/>
        <v>711</v>
      </c>
      <c r="C1284" s="3"/>
      <c r="D1284" s="3"/>
      <c r="E1284" s="3"/>
      <c r="F1284" s="25" t="s">
        <v>55</v>
      </c>
      <c r="G1284" s="3">
        <v>632</v>
      </c>
      <c r="H1284" s="3" t="s">
        <v>146</v>
      </c>
      <c r="I1284" s="18">
        <v>1103</v>
      </c>
      <c r="J1284" s="18">
        <v>1103</v>
      </c>
      <c r="K1284" s="218">
        <f t="shared" si="109"/>
        <v>100</v>
      </c>
      <c r="L1284" s="279"/>
      <c r="M1284" s="285"/>
      <c r="N1284" s="18"/>
      <c r="O1284" s="218"/>
      <c r="P1284" s="279"/>
      <c r="Q1284" s="285">
        <f t="shared" si="107"/>
        <v>1103</v>
      </c>
      <c r="R1284" s="18">
        <f t="shared" si="107"/>
        <v>1103</v>
      </c>
      <c r="S1284" s="219">
        <f t="shared" si="110"/>
        <v>100</v>
      </c>
    </row>
    <row r="1285" spans="2:19" x14ac:dyDescent="0.2">
      <c r="B1285" s="78">
        <f t="shared" si="111"/>
        <v>712</v>
      </c>
      <c r="C1285" s="3"/>
      <c r="D1285" s="3"/>
      <c r="E1285" s="3"/>
      <c r="F1285" s="25" t="s">
        <v>55</v>
      </c>
      <c r="G1285" s="3">
        <v>633</v>
      </c>
      <c r="H1285" s="3" t="s">
        <v>137</v>
      </c>
      <c r="I1285" s="18">
        <f>72839+40559</f>
        <v>113398</v>
      </c>
      <c r="J1285" s="18">
        <v>137259</v>
      </c>
      <c r="K1285" s="218">
        <f t="shared" si="109"/>
        <v>121.04181731600205</v>
      </c>
      <c r="L1285" s="279"/>
      <c r="M1285" s="285"/>
      <c r="N1285" s="18"/>
      <c r="O1285" s="218"/>
      <c r="P1285" s="279"/>
      <c r="Q1285" s="285">
        <f t="shared" si="107"/>
        <v>113398</v>
      </c>
      <c r="R1285" s="18">
        <f t="shared" si="107"/>
        <v>137259</v>
      </c>
      <c r="S1285" s="219">
        <f t="shared" si="110"/>
        <v>121.04181731600205</v>
      </c>
    </row>
    <row r="1286" spans="2:19" x14ac:dyDescent="0.2">
      <c r="B1286" s="78">
        <f t="shared" si="111"/>
        <v>713</v>
      </c>
      <c r="C1286" s="3"/>
      <c r="D1286" s="3"/>
      <c r="E1286" s="3"/>
      <c r="F1286" s="25" t="s">
        <v>55</v>
      </c>
      <c r="G1286" s="3">
        <v>635</v>
      </c>
      <c r="H1286" s="3" t="s">
        <v>145</v>
      </c>
      <c r="I1286" s="18">
        <f>1230-864</f>
        <v>366</v>
      </c>
      <c r="J1286" s="18">
        <v>366</v>
      </c>
      <c r="K1286" s="218">
        <f t="shared" si="109"/>
        <v>100</v>
      </c>
      <c r="L1286" s="279"/>
      <c r="M1286" s="285"/>
      <c r="N1286" s="18"/>
      <c r="O1286" s="218"/>
      <c r="P1286" s="279"/>
      <c r="Q1286" s="285">
        <f t="shared" si="107"/>
        <v>366</v>
      </c>
      <c r="R1286" s="18">
        <f t="shared" si="107"/>
        <v>366</v>
      </c>
      <c r="S1286" s="219">
        <f t="shared" si="110"/>
        <v>100</v>
      </c>
    </row>
    <row r="1287" spans="2:19" x14ac:dyDescent="0.2">
      <c r="B1287" s="78">
        <f t="shared" si="111"/>
        <v>714</v>
      </c>
      <c r="C1287" s="3"/>
      <c r="D1287" s="3"/>
      <c r="E1287" s="3"/>
      <c r="F1287" s="25" t="s">
        <v>55</v>
      </c>
      <c r="G1287" s="3">
        <v>637</v>
      </c>
      <c r="H1287" s="3" t="s">
        <v>134</v>
      </c>
      <c r="I1287" s="18">
        <f>4170+22116</f>
        <v>26286</v>
      </c>
      <c r="J1287" s="18">
        <v>26344</v>
      </c>
      <c r="K1287" s="218">
        <f t="shared" si="109"/>
        <v>100.22064977554592</v>
      </c>
      <c r="L1287" s="279"/>
      <c r="M1287" s="285"/>
      <c r="N1287" s="18"/>
      <c r="O1287" s="218"/>
      <c r="P1287" s="279"/>
      <c r="Q1287" s="285">
        <f t="shared" si="107"/>
        <v>26286</v>
      </c>
      <c r="R1287" s="18">
        <f t="shared" si="107"/>
        <v>26344</v>
      </c>
      <c r="S1287" s="219">
        <f t="shared" si="110"/>
        <v>100.22064977554592</v>
      </c>
    </row>
    <row r="1288" spans="2:19" x14ac:dyDescent="0.2">
      <c r="B1288" s="78">
        <f t="shared" si="111"/>
        <v>715</v>
      </c>
      <c r="C1288" s="7"/>
      <c r="D1288" s="7"/>
      <c r="E1288" s="7"/>
      <c r="F1288" s="24" t="s">
        <v>55</v>
      </c>
      <c r="G1288" s="7">
        <v>640</v>
      </c>
      <c r="H1288" s="7" t="s">
        <v>141</v>
      </c>
      <c r="I1288" s="22">
        <f>150+237</f>
        <v>387</v>
      </c>
      <c r="J1288" s="22">
        <v>387</v>
      </c>
      <c r="K1288" s="218">
        <f t="shared" si="109"/>
        <v>100</v>
      </c>
      <c r="L1288" s="278"/>
      <c r="M1288" s="284"/>
      <c r="N1288" s="22"/>
      <c r="O1288" s="218"/>
      <c r="P1288" s="278"/>
      <c r="Q1288" s="284">
        <f t="shared" si="107"/>
        <v>387</v>
      </c>
      <c r="R1288" s="22">
        <f t="shared" si="107"/>
        <v>387</v>
      </c>
      <c r="S1288" s="219">
        <f t="shared" si="110"/>
        <v>100</v>
      </c>
    </row>
    <row r="1289" spans="2:19" ht="15" x14ac:dyDescent="0.25">
      <c r="B1289" s="78">
        <f t="shared" si="111"/>
        <v>716</v>
      </c>
      <c r="C1289" s="10"/>
      <c r="D1289" s="10"/>
      <c r="E1289" s="10">
        <v>12</v>
      </c>
      <c r="F1289" s="27"/>
      <c r="G1289" s="10"/>
      <c r="H1289" s="10" t="s">
        <v>9</v>
      </c>
      <c r="I1289" s="37">
        <f>I1290+I1291+I1292+I1297+I1298+I1299+I1300+I1306</f>
        <v>274350</v>
      </c>
      <c r="J1289" s="37">
        <f>J1290+J1291+J1292+J1297+J1298+J1299+J1300+J1306</f>
        <v>275948</v>
      </c>
      <c r="K1289" s="218">
        <f t="shared" si="109"/>
        <v>100.582467650811</v>
      </c>
      <c r="L1289" s="295"/>
      <c r="M1289" s="299">
        <f>M1307</f>
        <v>7900</v>
      </c>
      <c r="N1289" s="37">
        <f>N1307</f>
        <v>7900</v>
      </c>
      <c r="O1289" s="218">
        <f t="shared" ref="O1289:O1309" si="112">N1289/M1289*100</f>
        <v>100</v>
      </c>
      <c r="P1289" s="295"/>
      <c r="Q1289" s="299">
        <f t="shared" si="107"/>
        <v>282250</v>
      </c>
      <c r="R1289" s="37">
        <f t="shared" si="107"/>
        <v>283848</v>
      </c>
      <c r="S1289" s="219">
        <f t="shared" si="110"/>
        <v>100.56616474756422</v>
      </c>
    </row>
    <row r="1290" spans="2:19" x14ac:dyDescent="0.2">
      <c r="B1290" s="78">
        <f t="shared" si="111"/>
        <v>717</v>
      </c>
      <c r="C1290" s="7"/>
      <c r="D1290" s="7"/>
      <c r="E1290" s="7"/>
      <c r="F1290" s="24" t="s">
        <v>87</v>
      </c>
      <c r="G1290" s="7">
        <v>610</v>
      </c>
      <c r="H1290" s="7" t="s">
        <v>143</v>
      </c>
      <c r="I1290" s="22">
        <v>36000</v>
      </c>
      <c r="J1290" s="22">
        <v>36000</v>
      </c>
      <c r="K1290" s="218">
        <f t="shared" si="109"/>
        <v>100</v>
      </c>
      <c r="L1290" s="278"/>
      <c r="M1290" s="284"/>
      <c r="N1290" s="22"/>
      <c r="O1290" s="218"/>
      <c r="P1290" s="278"/>
      <c r="Q1290" s="284">
        <f t="shared" si="107"/>
        <v>36000</v>
      </c>
      <c r="R1290" s="22">
        <f t="shared" si="107"/>
        <v>36000</v>
      </c>
      <c r="S1290" s="219">
        <f t="shared" si="110"/>
        <v>100</v>
      </c>
    </row>
    <row r="1291" spans="2:19" x14ac:dyDescent="0.2">
      <c r="B1291" s="78">
        <f t="shared" si="111"/>
        <v>718</v>
      </c>
      <c r="C1291" s="7"/>
      <c r="D1291" s="7"/>
      <c r="E1291" s="7"/>
      <c r="F1291" s="24" t="s">
        <v>87</v>
      </c>
      <c r="G1291" s="7">
        <v>620</v>
      </c>
      <c r="H1291" s="7" t="s">
        <v>136</v>
      </c>
      <c r="I1291" s="22">
        <v>13000</v>
      </c>
      <c r="J1291" s="22">
        <v>13000</v>
      </c>
      <c r="K1291" s="218">
        <f t="shared" si="109"/>
        <v>100</v>
      </c>
      <c r="L1291" s="278"/>
      <c r="M1291" s="284"/>
      <c r="N1291" s="22"/>
      <c r="O1291" s="218"/>
      <c r="P1291" s="278"/>
      <c r="Q1291" s="284">
        <f t="shared" si="107"/>
        <v>13000</v>
      </c>
      <c r="R1291" s="22">
        <f t="shared" si="107"/>
        <v>13000</v>
      </c>
      <c r="S1291" s="219">
        <f t="shared" si="110"/>
        <v>100</v>
      </c>
    </row>
    <row r="1292" spans="2:19" x14ac:dyDescent="0.2">
      <c r="B1292" s="78">
        <f t="shared" si="111"/>
        <v>719</v>
      </c>
      <c r="C1292" s="7"/>
      <c r="D1292" s="7"/>
      <c r="E1292" s="7"/>
      <c r="F1292" s="24" t="s">
        <v>87</v>
      </c>
      <c r="G1292" s="7">
        <v>630</v>
      </c>
      <c r="H1292" s="7" t="s">
        <v>133</v>
      </c>
      <c r="I1292" s="22">
        <f>SUM(I1293:I1296)</f>
        <v>77680</v>
      </c>
      <c r="J1292" s="22">
        <f>SUM(J1293:J1296)</f>
        <v>78514</v>
      </c>
      <c r="K1292" s="218">
        <f t="shared" si="109"/>
        <v>101.07363542739445</v>
      </c>
      <c r="L1292" s="278"/>
      <c r="M1292" s="284"/>
      <c r="N1292" s="22"/>
      <c r="O1292" s="218"/>
      <c r="P1292" s="278"/>
      <c r="Q1292" s="284">
        <f t="shared" si="107"/>
        <v>77680</v>
      </c>
      <c r="R1292" s="22">
        <f t="shared" si="107"/>
        <v>78514</v>
      </c>
      <c r="S1292" s="219">
        <f t="shared" si="110"/>
        <v>101.07363542739445</v>
      </c>
    </row>
    <row r="1293" spans="2:19" x14ac:dyDescent="0.2">
      <c r="B1293" s="78">
        <f t="shared" si="111"/>
        <v>720</v>
      </c>
      <c r="C1293" s="3"/>
      <c r="D1293" s="3"/>
      <c r="E1293" s="3"/>
      <c r="F1293" s="25" t="s">
        <v>87</v>
      </c>
      <c r="G1293" s="3">
        <v>632</v>
      </c>
      <c r="H1293" s="3" t="s">
        <v>146</v>
      </c>
      <c r="I1293" s="18">
        <v>6700</v>
      </c>
      <c r="J1293" s="18">
        <v>6700</v>
      </c>
      <c r="K1293" s="218">
        <f t="shared" si="109"/>
        <v>100</v>
      </c>
      <c r="L1293" s="279"/>
      <c r="M1293" s="285"/>
      <c r="N1293" s="18"/>
      <c r="O1293" s="218"/>
      <c r="P1293" s="279"/>
      <c r="Q1293" s="285">
        <f t="shared" si="107"/>
        <v>6700</v>
      </c>
      <c r="R1293" s="18">
        <f t="shared" si="107"/>
        <v>6700</v>
      </c>
      <c r="S1293" s="219">
        <f t="shared" si="110"/>
        <v>100</v>
      </c>
    </row>
    <row r="1294" spans="2:19" x14ac:dyDescent="0.2">
      <c r="B1294" s="78">
        <f t="shared" si="111"/>
        <v>721</v>
      </c>
      <c r="C1294" s="3"/>
      <c r="D1294" s="3"/>
      <c r="E1294" s="3"/>
      <c r="F1294" s="25" t="s">
        <v>87</v>
      </c>
      <c r="G1294" s="3">
        <v>633</v>
      </c>
      <c r="H1294" s="3" t="s">
        <v>137</v>
      </c>
      <c r="I1294" s="18">
        <v>68270</v>
      </c>
      <c r="J1294" s="18">
        <v>69104</v>
      </c>
      <c r="K1294" s="218">
        <f t="shared" si="109"/>
        <v>101.22162003808408</v>
      </c>
      <c r="L1294" s="279"/>
      <c r="M1294" s="285"/>
      <c r="N1294" s="18"/>
      <c r="O1294" s="218"/>
      <c r="P1294" s="279"/>
      <c r="Q1294" s="285">
        <f t="shared" ref="Q1294:R1354" si="113">I1294+M1294</f>
        <v>68270</v>
      </c>
      <c r="R1294" s="18">
        <f t="shared" si="113"/>
        <v>69104</v>
      </c>
      <c r="S1294" s="219">
        <f t="shared" si="110"/>
        <v>101.22162003808408</v>
      </c>
    </row>
    <row r="1295" spans="2:19" x14ac:dyDescent="0.2">
      <c r="B1295" s="78">
        <f t="shared" si="111"/>
        <v>722</v>
      </c>
      <c r="C1295" s="3"/>
      <c r="D1295" s="3"/>
      <c r="E1295" s="3"/>
      <c r="F1295" s="25" t="s">
        <v>87</v>
      </c>
      <c r="G1295" s="3">
        <v>635</v>
      </c>
      <c r="H1295" s="3" t="s">
        <v>145</v>
      </c>
      <c r="I1295" s="18">
        <v>1750</v>
      </c>
      <c r="J1295" s="18">
        <v>1750</v>
      </c>
      <c r="K1295" s="218">
        <f t="shared" si="109"/>
        <v>100</v>
      </c>
      <c r="L1295" s="279"/>
      <c r="M1295" s="285"/>
      <c r="N1295" s="18"/>
      <c r="O1295" s="218"/>
      <c r="P1295" s="279"/>
      <c r="Q1295" s="285">
        <f t="shared" si="113"/>
        <v>1750</v>
      </c>
      <c r="R1295" s="18">
        <f t="shared" si="113"/>
        <v>1750</v>
      </c>
      <c r="S1295" s="219">
        <f t="shared" si="110"/>
        <v>100</v>
      </c>
    </row>
    <row r="1296" spans="2:19" x14ac:dyDescent="0.2">
      <c r="B1296" s="78">
        <f t="shared" si="111"/>
        <v>723</v>
      </c>
      <c r="C1296" s="3"/>
      <c r="D1296" s="3"/>
      <c r="E1296" s="3"/>
      <c r="F1296" s="25" t="s">
        <v>87</v>
      </c>
      <c r="G1296" s="3">
        <v>637</v>
      </c>
      <c r="H1296" s="3" t="s">
        <v>134</v>
      </c>
      <c r="I1296" s="18">
        <v>960</v>
      </c>
      <c r="J1296" s="18">
        <v>960</v>
      </c>
      <c r="K1296" s="218">
        <f t="shared" si="109"/>
        <v>100</v>
      </c>
      <c r="L1296" s="279"/>
      <c r="M1296" s="285"/>
      <c r="N1296" s="18"/>
      <c r="O1296" s="218"/>
      <c r="P1296" s="279"/>
      <c r="Q1296" s="285">
        <f t="shared" si="113"/>
        <v>960</v>
      </c>
      <c r="R1296" s="18">
        <f t="shared" si="113"/>
        <v>960</v>
      </c>
      <c r="S1296" s="219">
        <f t="shared" si="110"/>
        <v>100</v>
      </c>
    </row>
    <row r="1297" spans="2:19" x14ac:dyDescent="0.2">
      <c r="B1297" s="78">
        <f t="shared" si="111"/>
        <v>724</v>
      </c>
      <c r="C1297" s="7"/>
      <c r="D1297" s="7"/>
      <c r="E1297" s="7"/>
      <c r="F1297" s="24" t="s">
        <v>87</v>
      </c>
      <c r="G1297" s="7">
        <v>640</v>
      </c>
      <c r="H1297" s="7" t="s">
        <v>141</v>
      </c>
      <c r="I1297" s="22">
        <f>200+19000</f>
        <v>19200</v>
      </c>
      <c r="J1297" s="22">
        <v>18909</v>
      </c>
      <c r="K1297" s="218">
        <f t="shared" si="109"/>
        <v>98.484375</v>
      </c>
      <c r="L1297" s="278"/>
      <c r="M1297" s="284"/>
      <c r="N1297" s="22"/>
      <c r="O1297" s="218"/>
      <c r="P1297" s="278"/>
      <c r="Q1297" s="284">
        <f t="shared" si="113"/>
        <v>19200</v>
      </c>
      <c r="R1297" s="22">
        <f t="shared" si="113"/>
        <v>18909</v>
      </c>
      <c r="S1297" s="219">
        <f t="shared" si="110"/>
        <v>98.484375</v>
      </c>
    </row>
    <row r="1298" spans="2:19" x14ac:dyDescent="0.2">
      <c r="B1298" s="78">
        <f t="shared" si="111"/>
        <v>725</v>
      </c>
      <c r="C1298" s="7"/>
      <c r="D1298" s="7"/>
      <c r="E1298" s="7"/>
      <c r="F1298" s="24" t="s">
        <v>55</v>
      </c>
      <c r="G1298" s="7">
        <v>610</v>
      </c>
      <c r="H1298" s="7" t="s">
        <v>143</v>
      </c>
      <c r="I1298" s="22">
        <v>37700</v>
      </c>
      <c r="J1298" s="22">
        <v>37704</v>
      </c>
      <c r="K1298" s="218">
        <f t="shared" si="109"/>
        <v>100.01061007957559</v>
      </c>
      <c r="L1298" s="278"/>
      <c r="M1298" s="284"/>
      <c r="N1298" s="22"/>
      <c r="O1298" s="218"/>
      <c r="P1298" s="278"/>
      <c r="Q1298" s="284">
        <f t="shared" si="113"/>
        <v>37700</v>
      </c>
      <c r="R1298" s="22">
        <f t="shared" si="113"/>
        <v>37704</v>
      </c>
      <c r="S1298" s="219">
        <f t="shared" si="110"/>
        <v>100.01061007957559</v>
      </c>
    </row>
    <row r="1299" spans="2:19" x14ac:dyDescent="0.2">
      <c r="B1299" s="78">
        <f t="shared" si="111"/>
        <v>726</v>
      </c>
      <c r="C1299" s="7"/>
      <c r="D1299" s="7"/>
      <c r="E1299" s="7"/>
      <c r="F1299" s="24" t="s">
        <v>55</v>
      </c>
      <c r="G1299" s="7">
        <v>620</v>
      </c>
      <c r="H1299" s="7" t="s">
        <v>136</v>
      </c>
      <c r="I1299" s="22">
        <v>14000</v>
      </c>
      <c r="J1299" s="22">
        <v>13998</v>
      </c>
      <c r="K1299" s="218">
        <f t="shared" si="109"/>
        <v>99.985714285714295</v>
      </c>
      <c r="L1299" s="278"/>
      <c r="M1299" s="284"/>
      <c r="N1299" s="22"/>
      <c r="O1299" s="218"/>
      <c r="P1299" s="278"/>
      <c r="Q1299" s="284">
        <f t="shared" si="113"/>
        <v>14000</v>
      </c>
      <c r="R1299" s="22">
        <f t="shared" si="113"/>
        <v>13998</v>
      </c>
      <c r="S1299" s="219">
        <f t="shared" si="110"/>
        <v>99.985714285714295</v>
      </c>
    </row>
    <row r="1300" spans="2:19" x14ac:dyDescent="0.2">
      <c r="B1300" s="78">
        <f t="shared" si="111"/>
        <v>727</v>
      </c>
      <c r="C1300" s="7"/>
      <c r="D1300" s="7"/>
      <c r="E1300" s="7"/>
      <c r="F1300" s="24" t="s">
        <v>55</v>
      </c>
      <c r="G1300" s="7">
        <v>630</v>
      </c>
      <c r="H1300" s="7" t="s">
        <v>133</v>
      </c>
      <c r="I1300" s="22">
        <f>SUM(I1301:I1305)</f>
        <v>74750</v>
      </c>
      <c r="J1300" s="22">
        <f>SUM(J1301:J1305)</f>
        <v>75804</v>
      </c>
      <c r="K1300" s="218">
        <f t="shared" si="109"/>
        <v>101.41003344481605</v>
      </c>
      <c r="L1300" s="278"/>
      <c r="M1300" s="284"/>
      <c r="N1300" s="22"/>
      <c r="O1300" s="218"/>
      <c r="P1300" s="278"/>
      <c r="Q1300" s="284">
        <f t="shared" si="113"/>
        <v>74750</v>
      </c>
      <c r="R1300" s="22">
        <f t="shared" si="113"/>
        <v>75804</v>
      </c>
      <c r="S1300" s="219">
        <f t="shared" si="110"/>
        <v>101.41003344481605</v>
      </c>
    </row>
    <row r="1301" spans="2:19" x14ac:dyDescent="0.2">
      <c r="B1301" s="78">
        <f t="shared" si="111"/>
        <v>728</v>
      </c>
      <c r="C1301" s="3"/>
      <c r="D1301" s="3"/>
      <c r="E1301" s="3"/>
      <c r="F1301" s="25" t="s">
        <v>55</v>
      </c>
      <c r="G1301" s="3">
        <v>631</v>
      </c>
      <c r="H1301" s="3" t="s">
        <v>139</v>
      </c>
      <c r="I1301" s="18">
        <v>50</v>
      </c>
      <c r="J1301" s="18">
        <v>50</v>
      </c>
      <c r="K1301" s="218">
        <f t="shared" si="109"/>
        <v>100</v>
      </c>
      <c r="L1301" s="279"/>
      <c r="M1301" s="285"/>
      <c r="N1301" s="18"/>
      <c r="O1301" s="218"/>
      <c r="P1301" s="279"/>
      <c r="Q1301" s="285">
        <f t="shared" si="113"/>
        <v>50</v>
      </c>
      <c r="R1301" s="18">
        <f t="shared" si="113"/>
        <v>50</v>
      </c>
      <c r="S1301" s="219">
        <f t="shared" si="110"/>
        <v>100</v>
      </c>
    </row>
    <row r="1302" spans="2:19" x14ac:dyDescent="0.2">
      <c r="B1302" s="78">
        <f t="shared" si="111"/>
        <v>729</v>
      </c>
      <c r="C1302" s="3"/>
      <c r="D1302" s="3"/>
      <c r="E1302" s="3"/>
      <c r="F1302" s="25" t="s">
        <v>55</v>
      </c>
      <c r="G1302" s="3">
        <v>632</v>
      </c>
      <c r="H1302" s="3" t="s">
        <v>146</v>
      </c>
      <c r="I1302" s="18">
        <v>8300</v>
      </c>
      <c r="J1302" s="18">
        <v>8300</v>
      </c>
      <c r="K1302" s="218">
        <f t="shared" si="109"/>
        <v>100</v>
      </c>
      <c r="L1302" s="279"/>
      <c r="M1302" s="285"/>
      <c r="N1302" s="18"/>
      <c r="O1302" s="218"/>
      <c r="P1302" s="279"/>
      <c r="Q1302" s="285">
        <f t="shared" si="113"/>
        <v>8300</v>
      </c>
      <c r="R1302" s="18">
        <f t="shared" si="113"/>
        <v>8300</v>
      </c>
      <c r="S1302" s="219">
        <f t="shared" si="110"/>
        <v>100</v>
      </c>
    </row>
    <row r="1303" spans="2:19" x14ac:dyDescent="0.2">
      <c r="B1303" s="78">
        <f t="shared" si="111"/>
        <v>730</v>
      </c>
      <c r="C1303" s="3"/>
      <c r="D1303" s="3"/>
      <c r="E1303" s="3"/>
      <c r="F1303" s="25" t="s">
        <v>55</v>
      </c>
      <c r="G1303" s="3">
        <v>633</v>
      </c>
      <c r="H1303" s="3" t="s">
        <v>137</v>
      </c>
      <c r="I1303" s="18">
        <f>82050-20000</f>
        <v>62050</v>
      </c>
      <c r="J1303" s="18">
        <v>63103</v>
      </c>
      <c r="K1303" s="218">
        <f t="shared" si="109"/>
        <v>101.69701853344077</v>
      </c>
      <c r="L1303" s="279"/>
      <c r="M1303" s="285"/>
      <c r="N1303" s="18"/>
      <c r="O1303" s="218"/>
      <c r="P1303" s="279"/>
      <c r="Q1303" s="285">
        <f t="shared" si="113"/>
        <v>62050</v>
      </c>
      <c r="R1303" s="18">
        <f t="shared" si="113"/>
        <v>63103</v>
      </c>
      <c r="S1303" s="219">
        <f t="shared" si="110"/>
        <v>101.69701853344077</v>
      </c>
    </row>
    <row r="1304" spans="2:19" x14ac:dyDescent="0.2">
      <c r="B1304" s="78">
        <f t="shared" si="111"/>
        <v>731</v>
      </c>
      <c r="C1304" s="3"/>
      <c r="D1304" s="3"/>
      <c r="E1304" s="3"/>
      <c r="F1304" s="25" t="s">
        <v>55</v>
      </c>
      <c r="G1304" s="3">
        <v>635</v>
      </c>
      <c r="H1304" s="3" t="s">
        <v>145</v>
      </c>
      <c r="I1304" s="18">
        <v>2150</v>
      </c>
      <c r="J1304" s="18">
        <v>2150</v>
      </c>
      <c r="K1304" s="218">
        <f t="shared" si="109"/>
        <v>100</v>
      </c>
      <c r="L1304" s="279"/>
      <c r="M1304" s="285"/>
      <c r="N1304" s="18"/>
      <c r="O1304" s="218"/>
      <c r="P1304" s="279"/>
      <c r="Q1304" s="285">
        <f t="shared" si="113"/>
        <v>2150</v>
      </c>
      <c r="R1304" s="18">
        <f t="shared" si="113"/>
        <v>2150</v>
      </c>
      <c r="S1304" s="219">
        <f t="shared" si="110"/>
        <v>100</v>
      </c>
    </row>
    <row r="1305" spans="2:19" x14ac:dyDescent="0.2">
      <c r="B1305" s="78">
        <f t="shared" si="111"/>
        <v>732</v>
      </c>
      <c r="C1305" s="3"/>
      <c r="D1305" s="3"/>
      <c r="E1305" s="3"/>
      <c r="F1305" s="25" t="s">
        <v>55</v>
      </c>
      <c r="G1305" s="3">
        <v>637</v>
      </c>
      <c r="H1305" s="3" t="s">
        <v>134</v>
      </c>
      <c r="I1305" s="18">
        <f>1200+1000</f>
        <v>2200</v>
      </c>
      <c r="J1305" s="18">
        <v>2201</v>
      </c>
      <c r="K1305" s="218">
        <f t="shared" si="109"/>
        <v>100.04545454545455</v>
      </c>
      <c r="L1305" s="279"/>
      <c r="M1305" s="285"/>
      <c r="N1305" s="18"/>
      <c r="O1305" s="218"/>
      <c r="P1305" s="279"/>
      <c r="Q1305" s="285">
        <f t="shared" si="113"/>
        <v>2200</v>
      </c>
      <c r="R1305" s="18">
        <f t="shared" si="113"/>
        <v>2201</v>
      </c>
      <c r="S1305" s="219">
        <f t="shared" si="110"/>
        <v>100.04545454545455</v>
      </c>
    </row>
    <row r="1306" spans="2:19" x14ac:dyDescent="0.2">
      <c r="B1306" s="78">
        <f t="shared" si="111"/>
        <v>733</v>
      </c>
      <c r="C1306" s="7"/>
      <c r="D1306" s="7"/>
      <c r="E1306" s="7"/>
      <c r="F1306" s="24" t="s">
        <v>55</v>
      </c>
      <c r="G1306" s="7">
        <v>640</v>
      </c>
      <c r="H1306" s="7" t="s">
        <v>141</v>
      </c>
      <c r="I1306" s="22">
        <f>220+1800</f>
        <v>2020</v>
      </c>
      <c r="J1306" s="22">
        <v>2019</v>
      </c>
      <c r="K1306" s="218">
        <f t="shared" si="109"/>
        <v>99.950495049504951</v>
      </c>
      <c r="L1306" s="278"/>
      <c r="M1306" s="284"/>
      <c r="N1306" s="22"/>
      <c r="O1306" s="218"/>
      <c r="P1306" s="278"/>
      <c r="Q1306" s="284">
        <f t="shared" si="113"/>
        <v>2020</v>
      </c>
      <c r="R1306" s="22">
        <f t="shared" si="113"/>
        <v>2019</v>
      </c>
      <c r="S1306" s="219">
        <f t="shared" si="110"/>
        <v>99.950495049504951</v>
      </c>
    </row>
    <row r="1307" spans="2:19" x14ac:dyDescent="0.2">
      <c r="B1307" s="78">
        <f t="shared" si="111"/>
        <v>734</v>
      </c>
      <c r="C1307" s="7"/>
      <c r="D1307" s="7"/>
      <c r="E1307" s="7"/>
      <c r="F1307" s="158" t="s">
        <v>87</v>
      </c>
      <c r="G1307" s="200">
        <v>710</v>
      </c>
      <c r="H1307" s="7" t="s">
        <v>188</v>
      </c>
      <c r="I1307" s="22"/>
      <c r="J1307" s="22"/>
      <c r="K1307" s="218"/>
      <c r="L1307" s="278"/>
      <c r="M1307" s="289">
        <f>M1308</f>
        <v>7900</v>
      </c>
      <c r="N1307" s="17">
        <f>N1308</f>
        <v>7900</v>
      </c>
      <c r="O1307" s="218">
        <f t="shared" si="112"/>
        <v>100</v>
      </c>
      <c r="P1307" s="273"/>
      <c r="Q1307" s="289">
        <f t="shared" si="113"/>
        <v>7900</v>
      </c>
      <c r="R1307" s="17">
        <f t="shared" si="113"/>
        <v>7900</v>
      </c>
      <c r="S1307" s="219">
        <f t="shared" si="110"/>
        <v>100</v>
      </c>
    </row>
    <row r="1308" spans="2:19" x14ac:dyDescent="0.2">
      <c r="B1308" s="78">
        <f t="shared" si="111"/>
        <v>735</v>
      </c>
      <c r="C1308" s="7"/>
      <c r="D1308" s="7"/>
      <c r="E1308" s="7"/>
      <c r="F1308" s="160" t="s">
        <v>87</v>
      </c>
      <c r="G1308" s="201">
        <v>713</v>
      </c>
      <c r="H1308" s="3" t="s">
        <v>234</v>
      </c>
      <c r="I1308" s="22"/>
      <c r="J1308" s="22"/>
      <c r="K1308" s="218"/>
      <c r="L1308" s="278"/>
      <c r="M1308" s="285">
        <f>M1309</f>
        <v>7900</v>
      </c>
      <c r="N1308" s="18">
        <f>N1309</f>
        <v>7900</v>
      </c>
      <c r="O1308" s="218">
        <f t="shared" si="112"/>
        <v>100</v>
      </c>
      <c r="P1308" s="274"/>
      <c r="Q1308" s="285">
        <f t="shared" si="113"/>
        <v>7900</v>
      </c>
      <c r="R1308" s="18">
        <f t="shared" si="113"/>
        <v>7900</v>
      </c>
      <c r="S1308" s="219">
        <f t="shared" si="110"/>
        <v>100</v>
      </c>
    </row>
    <row r="1309" spans="2:19" x14ac:dyDescent="0.2">
      <c r="B1309" s="78">
        <f t="shared" si="111"/>
        <v>736</v>
      </c>
      <c r="C1309" s="7"/>
      <c r="D1309" s="7"/>
      <c r="E1309" s="7"/>
      <c r="F1309" s="160"/>
      <c r="G1309" s="161"/>
      <c r="H1309" s="4" t="s">
        <v>576</v>
      </c>
      <c r="I1309" s="22"/>
      <c r="J1309" s="22"/>
      <c r="K1309" s="218"/>
      <c r="L1309" s="278"/>
      <c r="M1309" s="344">
        <v>7900</v>
      </c>
      <c r="N1309" s="162">
        <v>7900</v>
      </c>
      <c r="O1309" s="218">
        <f t="shared" si="112"/>
        <v>100</v>
      </c>
      <c r="P1309" s="346"/>
      <c r="Q1309" s="344">
        <f t="shared" si="113"/>
        <v>7900</v>
      </c>
      <c r="R1309" s="162">
        <f t="shared" si="113"/>
        <v>7900</v>
      </c>
      <c r="S1309" s="219">
        <f t="shared" si="110"/>
        <v>100</v>
      </c>
    </row>
    <row r="1310" spans="2:19" ht="15" x14ac:dyDescent="0.25">
      <c r="B1310" s="78">
        <f t="shared" si="111"/>
        <v>737</v>
      </c>
      <c r="C1310" s="10"/>
      <c r="D1310" s="10"/>
      <c r="E1310" s="10">
        <v>13</v>
      </c>
      <c r="F1310" s="27"/>
      <c r="G1310" s="10"/>
      <c r="H1310" s="10" t="s">
        <v>19</v>
      </c>
      <c r="I1310" s="37">
        <f>I1311+I1312+I1313+I1317+I1318+I1319+I1320+I1325</f>
        <v>151932</v>
      </c>
      <c r="J1310" s="37">
        <f>J1311+J1312+J1313+J1317+J1318+J1319+J1320+J1325</f>
        <v>155443</v>
      </c>
      <c r="K1310" s="218">
        <f t="shared" si="109"/>
        <v>102.3109022457415</v>
      </c>
      <c r="L1310" s="295"/>
      <c r="M1310" s="299">
        <v>0</v>
      </c>
      <c r="N1310" s="37">
        <v>0</v>
      </c>
      <c r="O1310" s="218"/>
      <c r="P1310" s="295"/>
      <c r="Q1310" s="299">
        <f t="shared" si="113"/>
        <v>151932</v>
      </c>
      <c r="R1310" s="37">
        <f t="shared" si="113"/>
        <v>155443</v>
      </c>
      <c r="S1310" s="219">
        <f t="shared" si="110"/>
        <v>102.3109022457415</v>
      </c>
    </row>
    <row r="1311" spans="2:19" x14ac:dyDescent="0.2">
      <c r="B1311" s="78">
        <f t="shared" si="111"/>
        <v>738</v>
      </c>
      <c r="C1311" s="7"/>
      <c r="D1311" s="7"/>
      <c r="E1311" s="7"/>
      <c r="F1311" s="24" t="s">
        <v>87</v>
      </c>
      <c r="G1311" s="7">
        <v>610</v>
      </c>
      <c r="H1311" s="7" t="s">
        <v>143</v>
      </c>
      <c r="I1311" s="22">
        <f>24710-1220</f>
        <v>23490</v>
      </c>
      <c r="J1311" s="22">
        <v>23490</v>
      </c>
      <c r="K1311" s="218">
        <f t="shared" si="109"/>
        <v>100</v>
      </c>
      <c r="L1311" s="278"/>
      <c r="M1311" s="284"/>
      <c r="N1311" s="22"/>
      <c r="O1311" s="218"/>
      <c r="P1311" s="278"/>
      <c r="Q1311" s="284">
        <f t="shared" si="113"/>
        <v>23490</v>
      </c>
      <c r="R1311" s="22">
        <f t="shared" si="113"/>
        <v>23490</v>
      </c>
      <c r="S1311" s="219">
        <f t="shared" si="110"/>
        <v>100</v>
      </c>
    </row>
    <row r="1312" spans="2:19" x14ac:dyDescent="0.2">
      <c r="B1312" s="78">
        <f t="shared" si="111"/>
        <v>739</v>
      </c>
      <c r="C1312" s="7"/>
      <c r="D1312" s="7"/>
      <c r="E1312" s="7"/>
      <c r="F1312" s="24" t="s">
        <v>87</v>
      </c>
      <c r="G1312" s="7">
        <v>620</v>
      </c>
      <c r="H1312" s="7" t="s">
        <v>136</v>
      </c>
      <c r="I1312" s="22">
        <v>8636</v>
      </c>
      <c r="J1312" s="22">
        <v>8635</v>
      </c>
      <c r="K1312" s="218">
        <f t="shared" si="109"/>
        <v>99.988420565076424</v>
      </c>
      <c r="L1312" s="278"/>
      <c r="M1312" s="284"/>
      <c r="N1312" s="22"/>
      <c r="O1312" s="218"/>
      <c r="P1312" s="278"/>
      <c r="Q1312" s="284">
        <f t="shared" si="113"/>
        <v>8636</v>
      </c>
      <c r="R1312" s="22">
        <f t="shared" si="113"/>
        <v>8635</v>
      </c>
      <c r="S1312" s="219">
        <f t="shared" si="110"/>
        <v>99.988420565076424</v>
      </c>
    </row>
    <row r="1313" spans="2:19" x14ac:dyDescent="0.2">
      <c r="B1313" s="78">
        <f t="shared" si="111"/>
        <v>740</v>
      </c>
      <c r="C1313" s="7"/>
      <c r="D1313" s="7"/>
      <c r="E1313" s="7"/>
      <c r="F1313" s="24" t="s">
        <v>87</v>
      </c>
      <c r="G1313" s="7">
        <v>630</v>
      </c>
      <c r="H1313" s="7" t="s">
        <v>133</v>
      </c>
      <c r="I1313" s="22">
        <f>SUM(I1314:I1316)</f>
        <v>9114</v>
      </c>
      <c r="J1313" s="22">
        <f>SUM(J1314:J1316)</f>
        <v>9114</v>
      </c>
      <c r="K1313" s="218">
        <f t="shared" si="109"/>
        <v>100</v>
      </c>
      <c r="L1313" s="278"/>
      <c r="M1313" s="284"/>
      <c r="N1313" s="22"/>
      <c r="O1313" s="218"/>
      <c r="P1313" s="278"/>
      <c r="Q1313" s="284">
        <f t="shared" si="113"/>
        <v>9114</v>
      </c>
      <c r="R1313" s="22">
        <f t="shared" si="113"/>
        <v>9114</v>
      </c>
      <c r="S1313" s="219">
        <f t="shared" si="110"/>
        <v>100</v>
      </c>
    </row>
    <row r="1314" spans="2:19" x14ac:dyDescent="0.2">
      <c r="B1314" s="78">
        <f t="shared" si="111"/>
        <v>741</v>
      </c>
      <c r="C1314" s="3"/>
      <c r="D1314" s="3"/>
      <c r="E1314" s="3"/>
      <c r="F1314" s="25" t="s">
        <v>87</v>
      </c>
      <c r="G1314" s="3">
        <v>632</v>
      </c>
      <c r="H1314" s="3" t="s">
        <v>146</v>
      </c>
      <c r="I1314" s="18">
        <f>3322+2000</f>
        <v>5322</v>
      </c>
      <c r="J1314" s="18">
        <v>5322</v>
      </c>
      <c r="K1314" s="218">
        <f t="shared" si="109"/>
        <v>100</v>
      </c>
      <c r="L1314" s="279"/>
      <c r="M1314" s="285"/>
      <c r="N1314" s="18"/>
      <c r="O1314" s="218"/>
      <c r="P1314" s="279"/>
      <c r="Q1314" s="285">
        <f t="shared" si="113"/>
        <v>5322</v>
      </c>
      <c r="R1314" s="18">
        <f t="shared" si="113"/>
        <v>5322</v>
      </c>
      <c r="S1314" s="219">
        <f t="shared" si="110"/>
        <v>100</v>
      </c>
    </row>
    <row r="1315" spans="2:19" x14ac:dyDescent="0.2">
      <c r="B1315" s="78">
        <f t="shared" si="111"/>
        <v>742</v>
      </c>
      <c r="C1315" s="3"/>
      <c r="D1315" s="3"/>
      <c r="E1315" s="3"/>
      <c r="F1315" s="25" t="s">
        <v>87</v>
      </c>
      <c r="G1315" s="3">
        <v>633</v>
      </c>
      <c r="H1315" s="3" t="s">
        <v>137</v>
      </c>
      <c r="I1315" s="18">
        <f>4212-2000</f>
        <v>2212</v>
      </c>
      <c r="J1315" s="18">
        <v>2212</v>
      </c>
      <c r="K1315" s="218">
        <f t="shared" si="109"/>
        <v>100</v>
      </c>
      <c r="L1315" s="279"/>
      <c r="M1315" s="285"/>
      <c r="N1315" s="18"/>
      <c r="O1315" s="218"/>
      <c r="P1315" s="279"/>
      <c r="Q1315" s="285">
        <f t="shared" si="113"/>
        <v>2212</v>
      </c>
      <c r="R1315" s="18">
        <f t="shared" si="113"/>
        <v>2212</v>
      </c>
      <c r="S1315" s="219">
        <f t="shared" si="110"/>
        <v>100</v>
      </c>
    </row>
    <row r="1316" spans="2:19" x14ac:dyDescent="0.2">
      <c r="B1316" s="78">
        <f t="shared" si="111"/>
        <v>743</v>
      </c>
      <c r="C1316" s="3"/>
      <c r="D1316" s="3"/>
      <c r="E1316" s="3"/>
      <c r="F1316" s="25" t="s">
        <v>87</v>
      </c>
      <c r="G1316" s="3">
        <v>637</v>
      </c>
      <c r="H1316" s="3" t="s">
        <v>134</v>
      </c>
      <c r="I1316" s="18">
        <v>1580</v>
      </c>
      <c r="J1316" s="18">
        <v>1580</v>
      </c>
      <c r="K1316" s="218">
        <f t="shared" si="109"/>
        <v>100</v>
      </c>
      <c r="L1316" s="279"/>
      <c r="M1316" s="285"/>
      <c r="N1316" s="18"/>
      <c r="O1316" s="218"/>
      <c r="P1316" s="279"/>
      <c r="Q1316" s="285">
        <f t="shared" si="113"/>
        <v>1580</v>
      </c>
      <c r="R1316" s="18">
        <f t="shared" si="113"/>
        <v>1580</v>
      </c>
      <c r="S1316" s="219">
        <f t="shared" si="110"/>
        <v>100</v>
      </c>
    </row>
    <row r="1317" spans="2:19" x14ac:dyDescent="0.2">
      <c r="B1317" s="78">
        <f t="shared" si="111"/>
        <v>744</v>
      </c>
      <c r="C1317" s="7"/>
      <c r="D1317" s="7"/>
      <c r="E1317" s="7"/>
      <c r="F1317" s="24" t="s">
        <v>87</v>
      </c>
      <c r="G1317" s="7">
        <v>640</v>
      </c>
      <c r="H1317" s="7" t="s">
        <v>141</v>
      </c>
      <c r="I1317" s="22">
        <f>20+1220</f>
        <v>1240</v>
      </c>
      <c r="J1317" s="22">
        <v>1241</v>
      </c>
      <c r="K1317" s="218">
        <f t="shared" si="109"/>
        <v>100.08064516129032</v>
      </c>
      <c r="L1317" s="278"/>
      <c r="M1317" s="284"/>
      <c r="N1317" s="22"/>
      <c r="O1317" s="218"/>
      <c r="P1317" s="278"/>
      <c r="Q1317" s="284">
        <f t="shared" si="113"/>
        <v>1240</v>
      </c>
      <c r="R1317" s="22">
        <f t="shared" si="113"/>
        <v>1241</v>
      </c>
      <c r="S1317" s="219">
        <f t="shared" si="110"/>
        <v>100.08064516129032</v>
      </c>
    </row>
    <row r="1318" spans="2:19" x14ac:dyDescent="0.2">
      <c r="B1318" s="78">
        <f t="shared" si="111"/>
        <v>745</v>
      </c>
      <c r="C1318" s="7"/>
      <c r="D1318" s="7"/>
      <c r="E1318" s="7"/>
      <c r="F1318" s="24" t="s">
        <v>55</v>
      </c>
      <c r="G1318" s="7">
        <v>610</v>
      </c>
      <c r="H1318" s="7" t="s">
        <v>143</v>
      </c>
      <c r="I1318" s="22">
        <f>27629-140</f>
        <v>27489</v>
      </c>
      <c r="J1318" s="22">
        <v>27489</v>
      </c>
      <c r="K1318" s="218">
        <f t="shared" si="109"/>
        <v>100</v>
      </c>
      <c r="L1318" s="278"/>
      <c r="M1318" s="284"/>
      <c r="N1318" s="22"/>
      <c r="O1318" s="218"/>
      <c r="P1318" s="278"/>
      <c r="Q1318" s="284">
        <f t="shared" si="113"/>
        <v>27489</v>
      </c>
      <c r="R1318" s="22">
        <f t="shared" si="113"/>
        <v>27489</v>
      </c>
      <c r="S1318" s="219">
        <f t="shared" si="110"/>
        <v>100</v>
      </c>
    </row>
    <row r="1319" spans="2:19" x14ac:dyDescent="0.2">
      <c r="B1319" s="78">
        <f t="shared" si="111"/>
        <v>746</v>
      </c>
      <c r="C1319" s="7"/>
      <c r="D1319" s="7"/>
      <c r="E1319" s="7"/>
      <c r="F1319" s="24" t="s">
        <v>55</v>
      </c>
      <c r="G1319" s="7">
        <v>620</v>
      </c>
      <c r="H1319" s="7" t="s">
        <v>136</v>
      </c>
      <c r="I1319" s="22">
        <v>9656</v>
      </c>
      <c r="J1319" s="22">
        <v>9655</v>
      </c>
      <c r="K1319" s="218">
        <f t="shared" si="109"/>
        <v>99.989643744821876</v>
      </c>
      <c r="L1319" s="278"/>
      <c r="M1319" s="284"/>
      <c r="N1319" s="22"/>
      <c r="O1319" s="218"/>
      <c r="P1319" s="278"/>
      <c r="Q1319" s="284">
        <f t="shared" si="113"/>
        <v>9656</v>
      </c>
      <c r="R1319" s="22">
        <f t="shared" si="113"/>
        <v>9655</v>
      </c>
      <c r="S1319" s="219">
        <f t="shared" si="110"/>
        <v>99.989643744821876</v>
      </c>
    </row>
    <row r="1320" spans="2:19" x14ac:dyDescent="0.2">
      <c r="B1320" s="78">
        <f t="shared" si="111"/>
        <v>747</v>
      </c>
      <c r="C1320" s="7"/>
      <c r="D1320" s="7"/>
      <c r="E1320" s="7"/>
      <c r="F1320" s="24" t="s">
        <v>55</v>
      </c>
      <c r="G1320" s="7">
        <v>630</v>
      </c>
      <c r="H1320" s="7" t="s">
        <v>133</v>
      </c>
      <c r="I1320" s="22">
        <f>SUM(I1321:I1324)</f>
        <v>63615</v>
      </c>
      <c r="J1320" s="22">
        <f>SUM(J1321:J1324)</f>
        <v>66992</v>
      </c>
      <c r="K1320" s="218">
        <f t="shared" si="109"/>
        <v>105.30849642379943</v>
      </c>
      <c r="L1320" s="278"/>
      <c r="M1320" s="284"/>
      <c r="N1320" s="22"/>
      <c r="O1320" s="218"/>
      <c r="P1320" s="278"/>
      <c r="Q1320" s="284">
        <f t="shared" si="113"/>
        <v>63615</v>
      </c>
      <c r="R1320" s="22">
        <f t="shared" si="113"/>
        <v>66992</v>
      </c>
      <c r="S1320" s="219">
        <f t="shared" si="110"/>
        <v>105.30849642379943</v>
      </c>
    </row>
    <row r="1321" spans="2:19" x14ac:dyDescent="0.2">
      <c r="B1321" s="78">
        <f t="shared" si="111"/>
        <v>748</v>
      </c>
      <c r="C1321" s="3"/>
      <c r="D1321" s="3"/>
      <c r="E1321" s="3"/>
      <c r="F1321" s="25" t="s">
        <v>55</v>
      </c>
      <c r="G1321" s="3">
        <v>632</v>
      </c>
      <c r="H1321" s="3" t="s">
        <v>146</v>
      </c>
      <c r="I1321" s="18">
        <f>3100+1025</f>
        <v>4125</v>
      </c>
      <c r="J1321" s="18">
        <v>4125</v>
      </c>
      <c r="K1321" s="218">
        <f t="shared" si="109"/>
        <v>100</v>
      </c>
      <c r="L1321" s="279"/>
      <c r="M1321" s="285"/>
      <c r="N1321" s="18"/>
      <c r="O1321" s="218"/>
      <c r="P1321" s="279"/>
      <c r="Q1321" s="285">
        <f t="shared" si="113"/>
        <v>4125</v>
      </c>
      <c r="R1321" s="18">
        <f t="shared" si="113"/>
        <v>4125</v>
      </c>
      <c r="S1321" s="219">
        <f t="shared" si="110"/>
        <v>100</v>
      </c>
    </row>
    <row r="1322" spans="2:19" x14ac:dyDescent="0.2">
      <c r="B1322" s="78">
        <f t="shared" si="111"/>
        <v>749</v>
      </c>
      <c r="C1322" s="3"/>
      <c r="D1322" s="3"/>
      <c r="E1322" s="3"/>
      <c r="F1322" s="25" t="s">
        <v>55</v>
      </c>
      <c r="G1322" s="3">
        <v>633</v>
      </c>
      <c r="H1322" s="3" t="s">
        <v>137</v>
      </c>
      <c r="I1322" s="18">
        <f>62865+163-9438</f>
        <v>53590</v>
      </c>
      <c r="J1322" s="18">
        <v>56967</v>
      </c>
      <c r="K1322" s="218">
        <f t="shared" si="109"/>
        <v>106.30154879641725</v>
      </c>
      <c r="L1322" s="279"/>
      <c r="M1322" s="285"/>
      <c r="N1322" s="18"/>
      <c r="O1322" s="218"/>
      <c r="P1322" s="279"/>
      <c r="Q1322" s="285">
        <f t="shared" si="113"/>
        <v>53590</v>
      </c>
      <c r="R1322" s="18">
        <f t="shared" si="113"/>
        <v>56967</v>
      </c>
      <c r="S1322" s="219">
        <f t="shared" si="110"/>
        <v>106.30154879641725</v>
      </c>
    </row>
    <row r="1323" spans="2:19" x14ac:dyDescent="0.2">
      <c r="B1323" s="78">
        <f t="shared" si="111"/>
        <v>750</v>
      </c>
      <c r="C1323" s="3"/>
      <c r="D1323" s="3"/>
      <c r="E1323" s="3"/>
      <c r="F1323" s="25" t="s">
        <v>55</v>
      </c>
      <c r="G1323" s="3">
        <v>635</v>
      </c>
      <c r="H1323" s="3" t="s">
        <v>145</v>
      </c>
      <c r="I1323" s="18">
        <f>3600-400</f>
        <v>3200</v>
      </c>
      <c r="J1323" s="18">
        <v>3200</v>
      </c>
      <c r="K1323" s="218">
        <f t="shared" si="109"/>
        <v>100</v>
      </c>
      <c r="L1323" s="279"/>
      <c r="M1323" s="285"/>
      <c r="N1323" s="18"/>
      <c r="O1323" s="218"/>
      <c r="P1323" s="279"/>
      <c r="Q1323" s="285">
        <f t="shared" si="113"/>
        <v>3200</v>
      </c>
      <c r="R1323" s="18">
        <f t="shared" si="113"/>
        <v>3200</v>
      </c>
      <c r="S1323" s="219">
        <f t="shared" si="110"/>
        <v>100</v>
      </c>
    </row>
    <row r="1324" spans="2:19" x14ac:dyDescent="0.2">
      <c r="B1324" s="78">
        <f t="shared" si="111"/>
        <v>751</v>
      </c>
      <c r="C1324" s="3"/>
      <c r="D1324" s="3"/>
      <c r="E1324" s="3"/>
      <c r="F1324" s="25" t="s">
        <v>55</v>
      </c>
      <c r="G1324" s="3">
        <v>637</v>
      </c>
      <c r="H1324" s="3" t="s">
        <v>134</v>
      </c>
      <c r="I1324" s="18">
        <f>2300+400</f>
        <v>2700</v>
      </c>
      <c r="J1324" s="18">
        <v>2700</v>
      </c>
      <c r="K1324" s="218">
        <f t="shared" si="109"/>
        <v>100</v>
      </c>
      <c r="L1324" s="279"/>
      <c r="M1324" s="285"/>
      <c r="N1324" s="18"/>
      <c r="O1324" s="218"/>
      <c r="P1324" s="279"/>
      <c r="Q1324" s="285">
        <f t="shared" si="113"/>
        <v>2700</v>
      </c>
      <c r="R1324" s="18">
        <f t="shared" si="113"/>
        <v>2700</v>
      </c>
      <c r="S1324" s="219">
        <f t="shared" si="110"/>
        <v>100</v>
      </c>
    </row>
    <row r="1325" spans="2:19" x14ac:dyDescent="0.2">
      <c r="B1325" s="78">
        <f t="shared" si="111"/>
        <v>752</v>
      </c>
      <c r="C1325" s="7"/>
      <c r="D1325" s="7"/>
      <c r="E1325" s="7"/>
      <c r="F1325" s="24" t="s">
        <v>55</v>
      </c>
      <c r="G1325" s="7">
        <v>640</v>
      </c>
      <c r="H1325" s="7" t="s">
        <v>141</v>
      </c>
      <c r="I1325" s="22">
        <f>30+8662</f>
        <v>8692</v>
      </c>
      <c r="J1325" s="22">
        <v>8827</v>
      </c>
      <c r="K1325" s="218">
        <f t="shared" si="109"/>
        <v>101.55315232397606</v>
      </c>
      <c r="L1325" s="278"/>
      <c r="M1325" s="284"/>
      <c r="N1325" s="22"/>
      <c r="O1325" s="218"/>
      <c r="P1325" s="278"/>
      <c r="Q1325" s="284">
        <f t="shared" si="113"/>
        <v>8692</v>
      </c>
      <c r="R1325" s="22">
        <f t="shared" si="113"/>
        <v>8827</v>
      </c>
      <c r="S1325" s="219">
        <f t="shared" si="110"/>
        <v>101.55315232397606</v>
      </c>
    </row>
    <row r="1326" spans="2:19" ht="15" x14ac:dyDescent="0.2">
      <c r="B1326" s="78">
        <f t="shared" si="111"/>
        <v>753</v>
      </c>
      <c r="C1326" s="430">
        <v>5</v>
      </c>
      <c r="D1326" s="505" t="s">
        <v>132</v>
      </c>
      <c r="E1326" s="494"/>
      <c r="F1326" s="494"/>
      <c r="G1326" s="494"/>
      <c r="H1326" s="495"/>
      <c r="I1326" s="35">
        <f>I1327+I1330+I1332+I1343</f>
        <v>255770</v>
      </c>
      <c r="J1326" s="35">
        <f>J1327+J1330+J1332+J1343</f>
        <v>248645</v>
      </c>
      <c r="K1326" s="218">
        <f t="shared" si="109"/>
        <v>97.214294092348595</v>
      </c>
      <c r="L1326" s="276"/>
      <c r="M1326" s="282">
        <v>0</v>
      </c>
      <c r="N1326" s="35">
        <v>0</v>
      </c>
      <c r="O1326" s="218"/>
      <c r="P1326" s="276"/>
      <c r="Q1326" s="282">
        <f t="shared" si="113"/>
        <v>255770</v>
      </c>
      <c r="R1326" s="35">
        <f t="shared" si="113"/>
        <v>248645</v>
      </c>
      <c r="S1326" s="219">
        <f t="shared" si="110"/>
        <v>97.214294092348595</v>
      </c>
    </row>
    <row r="1327" spans="2:19" x14ac:dyDescent="0.2">
      <c r="B1327" s="78">
        <f t="shared" si="111"/>
        <v>754</v>
      </c>
      <c r="C1327" s="6"/>
      <c r="D1327" s="6"/>
      <c r="E1327" s="6"/>
      <c r="F1327" s="28"/>
      <c r="G1327" s="6"/>
      <c r="H1327" s="6" t="s">
        <v>140</v>
      </c>
      <c r="I1327" s="39">
        <f>I1328</f>
        <v>3200</v>
      </c>
      <c r="J1327" s="39">
        <f>J1328</f>
        <v>2627</v>
      </c>
      <c r="K1327" s="218">
        <f t="shared" si="109"/>
        <v>82.09375</v>
      </c>
      <c r="L1327" s="278"/>
      <c r="M1327" s="343">
        <v>0</v>
      </c>
      <c r="N1327" s="39">
        <v>0</v>
      </c>
      <c r="O1327" s="218"/>
      <c r="P1327" s="278"/>
      <c r="Q1327" s="343">
        <f t="shared" si="113"/>
        <v>3200</v>
      </c>
      <c r="R1327" s="39">
        <f t="shared" si="113"/>
        <v>2627</v>
      </c>
      <c r="S1327" s="219">
        <f t="shared" si="110"/>
        <v>82.09375</v>
      </c>
    </row>
    <row r="1328" spans="2:19" x14ac:dyDescent="0.2">
      <c r="B1328" s="78">
        <f t="shared" si="111"/>
        <v>755</v>
      </c>
      <c r="C1328" s="7"/>
      <c r="D1328" s="7"/>
      <c r="E1328" s="7"/>
      <c r="F1328" s="24" t="s">
        <v>56</v>
      </c>
      <c r="G1328" s="7">
        <v>630</v>
      </c>
      <c r="H1328" s="7" t="s">
        <v>133</v>
      </c>
      <c r="I1328" s="22">
        <f>I1329</f>
        <v>3200</v>
      </c>
      <c r="J1328" s="22">
        <f>J1329</f>
        <v>2627</v>
      </c>
      <c r="K1328" s="218">
        <f t="shared" si="109"/>
        <v>82.09375</v>
      </c>
      <c r="L1328" s="278"/>
      <c r="M1328" s="284"/>
      <c r="N1328" s="22"/>
      <c r="O1328" s="218"/>
      <c r="P1328" s="278"/>
      <c r="Q1328" s="284">
        <f t="shared" si="113"/>
        <v>3200</v>
      </c>
      <c r="R1328" s="22">
        <f t="shared" si="113"/>
        <v>2627</v>
      </c>
      <c r="S1328" s="219">
        <f t="shared" si="110"/>
        <v>82.09375</v>
      </c>
    </row>
    <row r="1329" spans="2:19" x14ac:dyDescent="0.2">
      <c r="B1329" s="78">
        <f t="shared" si="111"/>
        <v>756</v>
      </c>
      <c r="C1329" s="3"/>
      <c r="D1329" s="3"/>
      <c r="E1329" s="3"/>
      <c r="F1329" s="25" t="s">
        <v>56</v>
      </c>
      <c r="G1329" s="3">
        <v>633</v>
      </c>
      <c r="H1329" s="3" t="s">
        <v>137</v>
      </c>
      <c r="I1329" s="18">
        <v>3200</v>
      </c>
      <c r="J1329" s="18">
        <v>2627</v>
      </c>
      <c r="K1329" s="218">
        <f t="shared" si="109"/>
        <v>82.09375</v>
      </c>
      <c r="L1329" s="279"/>
      <c r="M1329" s="285"/>
      <c r="N1329" s="18"/>
      <c r="O1329" s="218"/>
      <c r="P1329" s="279"/>
      <c r="Q1329" s="285">
        <f t="shared" si="113"/>
        <v>3200</v>
      </c>
      <c r="R1329" s="18">
        <f t="shared" si="113"/>
        <v>2627</v>
      </c>
      <c r="S1329" s="219">
        <f t="shared" si="110"/>
        <v>82.09375</v>
      </c>
    </row>
    <row r="1330" spans="2:19" x14ac:dyDescent="0.2">
      <c r="B1330" s="78">
        <f t="shared" si="111"/>
        <v>757</v>
      </c>
      <c r="C1330" s="6"/>
      <c r="D1330" s="6"/>
      <c r="E1330" s="6"/>
      <c r="F1330" s="28"/>
      <c r="G1330" s="6"/>
      <c r="H1330" s="6" t="s">
        <v>303</v>
      </c>
      <c r="I1330" s="39">
        <f>I1331</f>
        <v>10000</v>
      </c>
      <c r="J1330" s="39">
        <f>J1331</f>
        <v>10000</v>
      </c>
      <c r="K1330" s="218">
        <f t="shared" si="109"/>
        <v>100</v>
      </c>
      <c r="L1330" s="278"/>
      <c r="M1330" s="343">
        <v>0</v>
      </c>
      <c r="N1330" s="39">
        <v>0</v>
      </c>
      <c r="O1330" s="218"/>
      <c r="P1330" s="278"/>
      <c r="Q1330" s="343">
        <f t="shared" si="113"/>
        <v>10000</v>
      </c>
      <c r="R1330" s="39">
        <f t="shared" si="113"/>
        <v>10000</v>
      </c>
      <c r="S1330" s="219">
        <f t="shared" si="110"/>
        <v>100</v>
      </c>
    </row>
    <row r="1331" spans="2:19" x14ac:dyDescent="0.2">
      <c r="B1331" s="78">
        <f t="shared" si="111"/>
        <v>758</v>
      </c>
      <c r="C1331" s="2"/>
      <c r="D1331" s="2"/>
      <c r="E1331" s="2"/>
      <c r="F1331" s="29" t="s">
        <v>56</v>
      </c>
      <c r="G1331" s="2">
        <v>640</v>
      </c>
      <c r="H1331" s="2" t="s">
        <v>141</v>
      </c>
      <c r="I1331" s="17">
        <v>10000</v>
      </c>
      <c r="J1331" s="17">
        <v>10000</v>
      </c>
      <c r="K1331" s="218">
        <f t="shared" si="109"/>
        <v>100</v>
      </c>
      <c r="L1331" s="278"/>
      <c r="M1331" s="289"/>
      <c r="N1331" s="17"/>
      <c r="O1331" s="218"/>
      <c r="P1331" s="278"/>
      <c r="Q1331" s="289">
        <f t="shared" si="113"/>
        <v>10000</v>
      </c>
      <c r="R1331" s="17">
        <f t="shared" si="113"/>
        <v>10000</v>
      </c>
      <c r="S1331" s="219">
        <f t="shared" si="110"/>
        <v>100</v>
      </c>
    </row>
    <row r="1332" spans="2:19" x14ac:dyDescent="0.2">
      <c r="B1332" s="78">
        <f t="shared" si="111"/>
        <v>759</v>
      </c>
      <c r="C1332" s="6"/>
      <c r="D1332" s="6"/>
      <c r="E1332" s="6"/>
      <c r="F1332" s="28"/>
      <c r="G1332" s="6"/>
      <c r="H1332" s="6" t="s">
        <v>135</v>
      </c>
      <c r="I1332" s="39">
        <f>I1333+I1334+I1335+I1342</f>
        <v>48534</v>
      </c>
      <c r="J1332" s="39">
        <f>J1333+J1334+J1335+J1342</f>
        <v>45826</v>
      </c>
      <c r="K1332" s="218">
        <f t="shared" ref="K1332:K1354" si="114">J1332/I1332*100</f>
        <v>94.420406313100088</v>
      </c>
      <c r="L1332" s="278"/>
      <c r="M1332" s="343">
        <v>0</v>
      </c>
      <c r="N1332" s="39">
        <v>0</v>
      </c>
      <c r="O1332" s="218"/>
      <c r="P1332" s="278"/>
      <c r="Q1332" s="343">
        <f t="shared" si="113"/>
        <v>48534</v>
      </c>
      <c r="R1332" s="39">
        <f t="shared" si="113"/>
        <v>45826</v>
      </c>
      <c r="S1332" s="219">
        <f t="shared" ref="S1332:S1354" si="115">R1332/Q1332*100</f>
        <v>94.420406313100088</v>
      </c>
    </row>
    <row r="1333" spans="2:19" x14ac:dyDescent="0.2">
      <c r="B1333" s="78">
        <f t="shared" si="111"/>
        <v>760</v>
      </c>
      <c r="C1333" s="7"/>
      <c r="D1333" s="7"/>
      <c r="E1333" s="7"/>
      <c r="F1333" s="24" t="s">
        <v>56</v>
      </c>
      <c r="G1333" s="7">
        <v>610</v>
      </c>
      <c r="H1333" s="7" t="s">
        <v>143</v>
      </c>
      <c r="I1333" s="22">
        <f>26800+1154+170</f>
        <v>28124</v>
      </c>
      <c r="J1333" s="22">
        <v>28117</v>
      </c>
      <c r="K1333" s="218">
        <f t="shared" si="114"/>
        <v>99.975110226141368</v>
      </c>
      <c r="L1333" s="278"/>
      <c r="M1333" s="284"/>
      <c r="N1333" s="22"/>
      <c r="O1333" s="218"/>
      <c r="P1333" s="278"/>
      <c r="Q1333" s="284">
        <f t="shared" si="113"/>
        <v>28124</v>
      </c>
      <c r="R1333" s="22">
        <f t="shared" si="113"/>
        <v>28117</v>
      </c>
      <c r="S1333" s="219">
        <f t="shared" si="115"/>
        <v>99.975110226141368</v>
      </c>
    </row>
    <row r="1334" spans="2:19" x14ac:dyDescent="0.2">
      <c r="B1334" s="78">
        <f t="shared" si="111"/>
        <v>761</v>
      </c>
      <c r="C1334" s="7"/>
      <c r="D1334" s="7"/>
      <c r="E1334" s="7"/>
      <c r="F1334" s="24" t="s">
        <v>56</v>
      </c>
      <c r="G1334" s="7">
        <v>620</v>
      </c>
      <c r="H1334" s="7" t="s">
        <v>136</v>
      </c>
      <c r="I1334" s="22">
        <f>11070+620-970</f>
        <v>10720</v>
      </c>
      <c r="J1334" s="22">
        <v>10661</v>
      </c>
      <c r="K1334" s="218">
        <f t="shared" si="114"/>
        <v>99.449626865671632</v>
      </c>
      <c r="L1334" s="278"/>
      <c r="M1334" s="284"/>
      <c r="N1334" s="22"/>
      <c r="O1334" s="218"/>
      <c r="P1334" s="278"/>
      <c r="Q1334" s="284">
        <f t="shared" si="113"/>
        <v>10720</v>
      </c>
      <c r="R1334" s="22">
        <f t="shared" si="113"/>
        <v>10661</v>
      </c>
      <c r="S1334" s="219">
        <f t="shared" si="115"/>
        <v>99.449626865671632</v>
      </c>
    </row>
    <row r="1335" spans="2:19" x14ac:dyDescent="0.2">
      <c r="B1335" s="78">
        <f t="shared" si="111"/>
        <v>762</v>
      </c>
      <c r="C1335" s="7"/>
      <c r="D1335" s="7"/>
      <c r="E1335" s="7"/>
      <c r="F1335" s="24" t="s">
        <v>56</v>
      </c>
      <c r="G1335" s="7">
        <v>630</v>
      </c>
      <c r="H1335" s="7" t="s">
        <v>133</v>
      </c>
      <c r="I1335" s="22">
        <f>SUM(I1336:I1341)</f>
        <v>9420</v>
      </c>
      <c r="J1335" s="22">
        <f>SUM(J1336:J1341)</f>
        <v>6781</v>
      </c>
      <c r="K1335" s="218">
        <f t="shared" si="114"/>
        <v>71.985138004246281</v>
      </c>
      <c r="L1335" s="278"/>
      <c r="M1335" s="284"/>
      <c r="N1335" s="22"/>
      <c r="O1335" s="218"/>
      <c r="P1335" s="278"/>
      <c r="Q1335" s="284">
        <f t="shared" si="113"/>
        <v>9420</v>
      </c>
      <c r="R1335" s="22">
        <f t="shared" si="113"/>
        <v>6781</v>
      </c>
      <c r="S1335" s="219">
        <f t="shared" si="115"/>
        <v>71.985138004246281</v>
      </c>
    </row>
    <row r="1336" spans="2:19" x14ac:dyDescent="0.2">
      <c r="B1336" s="78">
        <f t="shared" si="111"/>
        <v>763</v>
      </c>
      <c r="C1336" s="3"/>
      <c r="D1336" s="3"/>
      <c r="E1336" s="3"/>
      <c r="F1336" s="25" t="s">
        <v>56</v>
      </c>
      <c r="G1336" s="3">
        <v>631</v>
      </c>
      <c r="H1336" s="3" t="s">
        <v>139</v>
      </c>
      <c r="I1336" s="18">
        <v>50</v>
      </c>
      <c r="J1336" s="18">
        <v>0</v>
      </c>
      <c r="K1336" s="218">
        <f t="shared" si="114"/>
        <v>0</v>
      </c>
      <c r="L1336" s="279"/>
      <c r="M1336" s="285"/>
      <c r="N1336" s="18"/>
      <c r="O1336" s="218"/>
      <c r="P1336" s="279"/>
      <c r="Q1336" s="285">
        <f t="shared" si="113"/>
        <v>50</v>
      </c>
      <c r="R1336" s="18">
        <f t="shared" si="113"/>
        <v>0</v>
      </c>
      <c r="S1336" s="219">
        <f t="shared" si="115"/>
        <v>0</v>
      </c>
    </row>
    <row r="1337" spans="2:19" x14ac:dyDescent="0.2">
      <c r="B1337" s="78">
        <f t="shared" si="111"/>
        <v>764</v>
      </c>
      <c r="C1337" s="3"/>
      <c r="D1337" s="3"/>
      <c r="E1337" s="3"/>
      <c r="F1337" s="25" t="s">
        <v>56</v>
      </c>
      <c r="G1337" s="3">
        <v>632</v>
      </c>
      <c r="H1337" s="3" t="s">
        <v>146</v>
      </c>
      <c r="I1337" s="18">
        <f>252-36+130</f>
        <v>346</v>
      </c>
      <c r="J1337" s="18">
        <v>257</v>
      </c>
      <c r="K1337" s="218">
        <f t="shared" si="114"/>
        <v>74.27745664739885</v>
      </c>
      <c r="L1337" s="279"/>
      <c r="M1337" s="285"/>
      <c r="N1337" s="18"/>
      <c r="O1337" s="218"/>
      <c r="P1337" s="279"/>
      <c r="Q1337" s="285">
        <f t="shared" si="113"/>
        <v>346</v>
      </c>
      <c r="R1337" s="18">
        <f t="shared" si="113"/>
        <v>257</v>
      </c>
      <c r="S1337" s="219">
        <f t="shared" si="115"/>
        <v>74.27745664739885</v>
      </c>
    </row>
    <row r="1338" spans="2:19" x14ac:dyDescent="0.2">
      <c r="B1338" s="78">
        <f t="shared" si="111"/>
        <v>765</v>
      </c>
      <c r="C1338" s="3"/>
      <c r="D1338" s="3"/>
      <c r="E1338" s="3"/>
      <c r="F1338" s="25" t="s">
        <v>56</v>
      </c>
      <c r="G1338" s="3">
        <v>633</v>
      </c>
      <c r="H1338" s="3" t="s">
        <v>137</v>
      </c>
      <c r="I1338" s="18">
        <f>360+2330+670-270</f>
        <v>3090</v>
      </c>
      <c r="J1338" s="18">
        <f>4899-503-713-795-1779+1</f>
        <v>1110</v>
      </c>
      <c r="K1338" s="218">
        <f t="shared" si="114"/>
        <v>35.922330097087382</v>
      </c>
      <c r="L1338" s="279"/>
      <c r="M1338" s="285"/>
      <c r="N1338" s="18"/>
      <c r="O1338" s="218"/>
      <c r="P1338" s="279"/>
      <c r="Q1338" s="285">
        <f t="shared" si="113"/>
        <v>3090</v>
      </c>
      <c r="R1338" s="18">
        <f t="shared" si="113"/>
        <v>1110</v>
      </c>
      <c r="S1338" s="219">
        <f t="shared" si="115"/>
        <v>35.922330097087382</v>
      </c>
    </row>
    <row r="1339" spans="2:19" x14ac:dyDescent="0.2">
      <c r="B1339" s="78">
        <f t="shared" si="111"/>
        <v>766</v>
      </c>
      <c r="C1339" s="3"/>
      <c r="D1339" s="3"/>
      <c r="E1339" s="3"/>
      <c r="F1339" s="25" t="s">
        <v>56</v>
      </c>
      <c r="G1339" s="3">
        <v>637</v>
      </c>
      <c r="H1339" s="3" t="s">
        <v>134</v>
      </c>
      <c r="I1339" s="18">
        <v>1650</v>
      </c>
      <c r="J1339" s="18">
        <f>1625-98-202-195</f>
        <v>1130</v>
      </c>
      <c r="K1339" s="218">
        <f t="shared" si="114"/>
        <v>68.484848484848484</v>
      </c>
      <c r="L1339" s="279"/>
      <c r="M1339" s="285"/>
      <c r="N1339" s="18"/>
      <c r="O1339" s="218"/>
      <c r="P1339" s="279"/>
      <c r="Q1339" s="285">
        <f t="shared" si="113"/>
        <v>1650</v>
      </c>
      <c r="R1339" s="18">
        <f t="shared" si="113"/>
        <v>1130</v>
      </c>
      <c r="S1339" s="219">
        <f t="shared" si="115"/>
        <v>68.484848484848484</v>
      </c>
    </row>
    <row r="1340" spans="2:19" x14ac:dyDescent="0.2">
      <c r="B1340" s="78">
        <f t="shared" si="111"/>
        <v>767</v>
      </c>
      <c r="C1340" s="3"/>
      <c r="D1340" s="3"/>
      <c r="E1340" s="3"/>
      <c r="F1340" s="25" t="s">
        <v>56</v>
      </c>
      <c r="G1340" s="3">
        <v>630</v>
      </c>
      <c r="H1340" s="3" t="s">
        <v>574</v>
      </c>
      <c r="I1340" s="18">
        <v>4186</v>
      </c>
      <c r="J1340" s="18">
        <f>503+713+795+1779+202+195-1</f>
        <v>4186</v>
      </c>
      <c r="K1340" s="218">
        <f t="shared" si="114"/>
        <v>100</v>
      </c>
      <c r="L1340" s="279"/>
      <c r="M1340" s="285"/>
      <c r="N1340" s="18"/>
      <c r="O1340" s="218"/>
      <c r="P1340" s="279"/>
      <c r="Q1340" s="285">
        <f t="shared" si="113"/>
        <v>4186</v>
      </c>
      <c r="R1340" s="18">
        <f t="shared" si="113"/>
        <v>4186</v>
      </c>
      <c r="S1340" s="219">
        <f t="shared" si="115"/>
        <v>100</v>
      </c>
    </row>
    <row r="1341" spans="2:19" x14ac:dyDescent="0.2">
      <c r="B1341" s="78">
        <f t="shared" si="111"/>
        <v>768</v>
      </c>
      <c r="C1341" s="3"/>
      <c r="D1341" s="3"/>
      <c r="E1341" s="3"/>
      <c r="F1341" s="25" t="s">
        <v>56</v>
      </c>
      <c r="G1341" s="3">
        <v>637</v>
      </c>
      <c r="H1341" s="3" t="s">
        <v>577</v>
      </c>
      <c r="I1341" s="18">
        <v>98</v>
      </c>
      <c r="J1341" s="18">
        <f>98</f>
        <v>98</v>
      </c>
      <c r="K1341" s="218">
        <f t="shared" si="114"/>
        <v>100</v>
      </c>
      <c r="L1341" s="279"/>
      <c r="M1341" s="285"/>
      <c r="N1341" s="18"/>
      <c r="O1341" s="218"/>
      <c r="P1341" s="279"/>
      <c r="Q1341" s="285">
        <f t="shared" si="113"/>
        <v>98</v>
      </c>
      <c r="R1341" s="18">
        <f t="shared" si="113"/>
        <v>98</v>
      </c>
      <c r="S1341" s="219">
        <f t="shared" si="115"/>
        <v>100</v>
      </c>
    </row>
    <row r="1342" spans="2:19" x14ac:dyDescent="0.2">
      <c r="B1342" s="78">
        <f t="shared" si="111"/>
        <v>769</v>
      </c>
      <c r="C1342" s="7"/>
      <c r="D1342" s="7"/>
      <c r="E1342" s="7"/>
      <c r="F1342" s="24" t="s">
        <v>56</v>
      </c>
      <c r="G1342" s="7">
        <v>640</v>
      </c>
      <c r="H1342" s="7" t="s">
        <v>141</v>
      </c>
      <c r="I1342" s="22">
        <f>2330-2330+270</f>
        <v>270</v>
      </c>
      <c r="J1342" s="22">
        <v>267</v>
      </c>
      <c r="K1342" s="218">
        <f t="shared" si="114"/>
        <v>98.888888888888886</v>
      </c>
      <c r="L1342" s="278"/>
      <c r="M1342" s="284"/>
      <c r="N1342" s="22"/>
      <c r="O1342" s="218"/>
      <c r="P1342" s="278"/>
      <c r="Q1342" s="284">
        <f t="shared" si="113"/>
        <v>270</v>
      </c>
      <c r="R1342" s="22">
        <f t="shared" si="113"/>
        <v>267</v>
      </c>
      <c r="S1342" s="219">
        <f t="shared" si="115"/>
        <v>98.888888888888886</v>
      </c>
    </row>
    <row r="1343" spans="2:19" ht="15" x14ac:dyDescent="0.25">
      <c r="B1343" s="78">
        <f t="shared" si="111"/>
        <v>770</v>
      </c>
      <c r="C1343" s="10"/>
      <c r="D1343" s="10"/>
      <c r="E1343" s="10">
        <v>4</v>
      </c>
      <c r="F1343" s="27"/>
      <c r="G1343" s="10"/>
      <c r="H1343" s="10" t="s">
        <v>90</v>
      </c>
      <c r="I1343" s="37">
        <f>I1344+I1345+I1346+I1354</f>
        <v>194036</v>
      </c>
      <c r="J1343" s="37">
        <f>J1344+J1345+J1346+J1354</f>
        <v>190192</v>
      </c>
      <c r="K1343" s="218">
        <f t="shared" si="114"/>
        <v>98.018924323321443</v>
      </c>
      <c r="L1343" s="295"/>
      <c r="M1343" s="299">
        <v>0</v>
      </c>
      <c r="N1343" s="37">
        <v>0</v>
      </c>
      <c r="O1343" s="218"/>
      <c r="P1343" s="295"/>
      <c r="Q1343" s="299">
        <f t="shared" si="113"/>
        <v>194036</v>
      </c>
      <c r="R1343" s="37">
        <f t="shared" si="113"/>
        <v>190192</v>
      </c>
      <c r="S1343" s="219">
        <f t="shared" si="115"/>
        <v>98.018924323321443</v>
      </c>
    </row>
    <row r="1344" spans="2:19" x14ac:dyDescent="0.2">
      <c r="B1344" s="78">
        <f t="shared" si="111"/>
        <v>771</v>
      </c>
      <c r="C1344" s="7"/>
      <c r="D1344" s="7"/>
      <c r="E1344" s="7"/>
      <c r="F1344" s="24" t="s">
        <v>80</v>
      </c>
      <c r="G1344" s="7">
        <v>610</v>
      </c>
      <c r="H1344" s="7" t="s">
        <v>143</v>
      </c>
      <c r="I1344" s="22">
        <f>102410-2700</f>
        <v>99710</v>
      </c>
      <c r="J1344" s="22">
        <v>99709</v>
      </c>
      <c r="K1344" s="218">
        <f t="shared" si="114"/>
        <v>99.998997091565542</v>
      </c>
      <c r="L1344" s="278"/>
      <c r="M1344" s="284"/>
      <c r="N1344" s="22"/>
      <c r="O1344" s="218"/>
      <c r="P1344" s="278"/>
      <c r="Q1344" s="284">
        <f t="shared" si="113"/>
        <v>99710</v>
      </c>
      <c r="R1344" s="22">
        <f t="shared" si="113"/>
        <v>99709</v>
      </c>
      <c r="S1344" s="219">
        <f t="shared" si="115"/>
        <v>99.998997091565542</v>
      </c>
    </row>
    <row r="1345" spans="2:19" x14ac:dyDescent="0.2">
      <c r="B1345" s="78">
        <f t="shared" ref="B1345:B1352" si="116">B1344+1</f>
        <v>772</v>
      </c>
      <c r="C1345" s="7"/>
      <c r="D1345" s="7"/>
      <c r="E1345" s="7"/>
      <c r="F1345" s="24" t="s">
        <v>80</v>
      </c>
      <c r="G1345" s="7">
        <v>620</v>
      </c>
      <c r="H1345" s="7" t="s">
        <v>136</v>
      </c>
      <c r="I1345" s="22">
        <v>41720</v>
      </c>
      <c r="J1345" s="22">
        <v>41719</v>
      </c>
      <c r="K1345" s="218">
        <f t="shared" si="114"/>
        <v>99.997603068072877</v>
      </c>
      <c r="L1345" s="278"/>
      <c r="M1345" s="284"/>
      <c r="N1345" s="22"/>
      <c r="O1345" s="218"/>
      <c r="P1345" s="278"/>
      <c r="Q1345" s="284">
        <f t="shared" si="113"/>
        <v>41720</v>
      </c>
      <c r="R1345" s="22">
        <f t="shared" si="113"/>
        <v>41719</v>
      </c>
      <c r="S1345" s="219">
        <f t="shared" si="115"/>
        <v>99.997603068072877</v>
      </c>
    </row>
    <row r="1346" spans="2:19" x14ac:dyDescent="0.2">
      <c r="B1346" s="78">
        <f t="shared" si="116"/>
        <v>773</v>
      </c>
      <c r="C1346" s="7"/>
      <c r="D1346" s="7"/>
      <c r="E1346" s="7"/>
      <c r="F1346" s="24" t="s">
        <v>80</v>
      </c>
      <c r="G1346" s="7">
        <v>630</v>
      </c>
      <c r="H1346" s="7" t="s">
        <v>133</v>
      </c>
      <c r="I1346" s="22">
        <f>SUM(I1347:I1353)</f>
        <v>48703</v>
      </c>
      <c r="J1346" s="22">
        <f>SUM(J1347:J1353)</f>
        <v>48560</v>
      </c>
      <c r="K1346" s="218">
        <f t="shared" si="114"/>
        <v>99.706383590333246</v>
      </c>
      <c r="L1346" s="278"/>
      <c r="M1346" s="284"/>
      <c r="N1346" s="22"/>
      <c r="O1346" s="218"/>
      <c r="P1346" s="278"/>
      <c r="Q1346" s="284">
        <f t="shared" si="113"/>
        <v>48703</v>
      </c>
      <c r="R1346" s="22">
        <f t="shared" si="113"/>
        <v>48560</v>
      </c>
      <c r="S1346" s="219">
        <f t="shared" si="115"/>
        <v>99.706383590333246</v>
      </c>
    </row>
    <row r="1347" spans="2:19" x14ac:dyDescent="0.2">
      <c r="B1347" s="78">
        <f t="shared" si="116"/>
        <v>774</v>
      </c>
      <c r="C1347" s="3"/>
      <c r="D1347" s="3"/>
      <c r="E1347" s="3"/>
      <c r="F1347" s="25" t="s">
        <v>80</v>
      </c>
      <c r="G1347" s="3">
        <v>631</v>
      </c>
      <c r="H1347" s="3" t="s">
        <v>139</v>
      </c>
      <c r="I1347" s="18">
        <v>50</v>
      </c>
      <c r="J1347" s="18">
        <v>50</v>
      </c>
      <c r="K1347" s="218">
        <f t="shared" si="114"/>
        <v>100</v>
      </c>
      <c r="L1347" s="279"/>
      <c r="M1347" s="285"/>
      <c r="N1347" s="18"/>
      <c r="O1347" s="218"/>
      <c r="P1347" s="279"/>
      <c r="Q1347" s="285">
        <f t="shared" si="113"/>
        <v>50</v>
      </c>
      <c r="R1347" s="18">
        <f t="shared" si="113"/>
        <v>50</v>
      </c>
      <c r="S1347" s="219">
        <f t="shared" si="115"/>
        <v>100</v>
      </c>
    </row>
    <row r="1348" spans="2:19" x14ac:dyDescent="0.2">
      <c r="B1348" s="78">
        <f t="shared" si="116"/>
        <v>775</v>
      </c>
      <c r="C1348" s="3"/>
      <c r="D1348" s="3"/>
      <c r="E1348" s="3"/>
      <c r="F1348" s="25" t="s">
        <v>80</v>
      </c>
      <c r="G1348" s="3">
        <v>632</v>
      </c>
      <c r="H1348" s="3" t="s">
        <v>146</v>
      </c>
      <c r="I1348" s="18">
        <f>1200-580</f>
        <v>620</v>
      </c>
      <c r="J1348" s="18">
        <v>620</v>
      </c>
      <c r="K1348" s="218">
        <f t="shared" si="114"/>
        <v>100</v>
      </c>
      <c r="L1348" s="279"/>
      <c r="M1348" s="285"/>
      <c r="N1348" s="18"/>
      <c r="O1348" s="218"/>
      <c r="P1348" s="279"/>
      <c r="Q1348" s="285">
        <f t="shared" si="113"/>
        <v>620</v>
      </c>
      <c r="R1348" s="18">
        <f t="shared" si="113"/>
        <v>620</v>
      </c>
      <c r="S1348" s="219">
        <f t="shared" si="115"/>
        <v>100</v>
      </c>
    </row>
    <row r="1349" spans="2:19" x14ac:dyDescent="0.2">
      <c r="B1349" s="78">
        <f t="shared" si="116"/>
        <v>776</v>
      </c>
      <c r="C1349" s="3"/>
      <c r="D1349" s="3"/>
      <c r="E1349" s="3"/>
      <c r="F1349" s="25" t="s">
        <v>80</v>
      </c>
      <c r="G1349" s="3">
        <v>633</v>
      </c>
      <c r="H1349" s="3" t="s">
        <v>137</v>
      </c>
      <c r="I1349" s="18">
        <v>2900</v>
      </c>
      <c r="J1349" s="18">
        <v>2900</v>
      </c>
      <c r="K1349" s="218">
        <f t="shared" si="114"/>
        <v>100</v>
      </c>
      <c r="L1349" s="279"/>
      <c r="M1349" s="285"/>
      <c r="N1349" s="18"/>
      <c r="O1349" s="218"/>
      <c r="P1349" s="279"/>
      <c r="Q1349" s="285">
        <f t="shared" si="113"/>
        <v>2900</v>
      </c>
      <c r="R1349" s="18">
        <f t="shared" si="113"/>
        <v>2900</v>
      </c>
      <c r="S1349" s="219">
        <f t="shared" si="115"/>
        <v>100</v>
      </c>
    </row>
    <row r="1350" spans="2:19" x14ac:dyDescent="0.2">
      <c r="B1350" s="78">
        <f t="shared" si="116"/>
        <v>777</v>
      </c>
      <c r="C1350" s="3"/>
      <c r="D1350" s="3"/>
      <c r="E1350" s="3"/>
      <c r="F1350" s="25" t="s">
        <v>80</v>
      </c>
      <c r="G1350" s="3">
        <v>634</v>
      </c>
      <c r="H1350" s="3" t="s">
        <v>144</v>
      </c>
      <c r="I1350" s="18">
        <f>4150-1400</f>
        <v>2750</v>
      </c>
      <c r="J1350" s="18">
        <v>2750</v>
      </c>
      <c r="K1350" s="218">
        <f t="shared" si="114"/>
        <v>100</v>
      </c>
      <c r="L1350" s="279"/>
      <c r="M1350" s="285"/>
      <c r="N1350" s="18"/>
      <c r="O1350" s="218"/>
      <c r="P1350" s="279"/>
      <c r="Q1350" s="285">
        <f t="shared" si="113"/>
        <v>2750</v>
      </c>
      <c r="R1350" s="18">
        <f t="shared" si="113"/>
        <v>2750</v>
      </c>
      <c r="S1350" s="219">
        <f t="shared" si="115"/>
        <v>100</v>
      </c>
    </row>
    <row r="1351" spans="2:19" x14ac:dyDescent="0.2">
      <c r="B1351" s="78">
        <f t="shared" si="116"/>
        <v>778</v>
      </c>
      <c r="C1351" s="3"/>
      <c r="D1351" s="3"/>
      <c r="E1351" s="3"/>
      <c r="F1351" s="25" t="s">
        <v>80</v>
      </c>
      <c r="G1351" s="3">
        <v>635</v>
      </c>
      <c r="H1351" s="3" t="s">
        <v>145</v>
      </c>
      <c r="I1351" s="18">
        <f>8356+1580</f>
        <v>9936</v>
      </c>
      <c r="J1351" s="18">
        <v>9936</v>
      </c>
      <c r="K1351" s="218">
        <f t="shared" si="114"/>
        <v>100</v>
      </c>
      <c r="L1351" s="279"/>
      <c r="M1351" s="285"/>
      <c r="N1351" s="18"/>
      <c r="O1351" s="218"/>
      <c r="P1351" s="279"/>
      <c r="Q1351" s="285">
        <f t="shared" si="113"/>
        <v>9936</v>
      </c>
      <c r="R1351" s="18">
        <f t="shared" si="113"/>
        <v>9936</v>
      </c>
      <c r="S1351" s="219">
        <f t="shared" si="115"/>
        <v>100</v>
      </c>
    </row>
    <row r="1352" spans="2:19" x14ac:dyDescent="0.2">
      <c r="B1352" s="78">
        <f t="shared" si="116"/>
        <v>779</v>
      </c>
      <c r="C1352" s="3"/>
      <c r="D1352" s="3"/>
      <c r="E1352" s="3"/>
      <c r="F1352" s="25" t="s">
        <v>80</v>
      </c>
      <c r="G1352" s="3">
        <v>636</v>
      </c>
      <c r="H1352" s="3" t="s">
        <v>138</v>
      </c>
      <c r="I1352" s="18">
        <v>2780</v>
      </c>
      <c r="J1352" s="18">
        <v>2780</v>
      </c>
      <c r="K1352" s="218">
        <f t="shared" si="114"/>
        <v>100</v>
      </c>
      <c r="L1352" s="279"/>
      <c r="M1352" s="285"/>
      <c r="N1352" s="18"/>
      <c r="O1352" s="218"/>
      <c r="P1352" s="279"/>
      <c r="Q1352" s="285">
        <f t="shared" si="113"/>
        <v>2780</v>
      </c>
      <c r="R1352" s="18">
        <f t="shared" si="113"/>
        <v>2780</v>
      </c>
      <c r="S1352" s="219">
        <f t="shared" si="115"/>
        <v>100</v>
      </c>
    </row>
    <row r="1353" spans="2:19" x14ac:dyDescent="0.2">
      <c r="B1353" s="78">
        <f>B1352+1</f>
        <v>780</v>
      </c>
      <c r="C1353" s="3"/>
      <c r="D1353" s="3"/>
      <c r="E1353" s="3"/>
      <c r="F1353" s="25" t="s">
        <v>80</v>
      </c>
      <c r="G1353" s="3">
        <v>637</v>
      </c>
      <c r="H1353" s="3" t="s">
        <v>134</v>
      </c>
      <c r="I1353" s="18">
        <f>27967+2700-1000</f>
        <v>29667</v>
      </c>
      <c r="J1353" s="18">
        <v>29524</v>
      </c>
      <c r="K1353" s="218">
        <f t="shared" si="114"/>
        <v>99.517982944011862</v>
      </c>
      <c r="L1353" s="279"/>
      <c r="M1353" s="285"/>
      <c r="N1353" s="18"/>
      <c r="O1353" s="218"/>
      <c r="P1353" s="279"/>
      <c r="Q1353" s="285">
        <f t="shared" si="113"/>
        <v>29667</v>
      </c>
      <c r="R1353" s="18">
        <f t="shared" si="113"/>
        <v>29524</v>
      </c>
      <c r="S1353" s="219">
        <f t="shared" si="115"/>
        <v>99.517982944011862</v>
      </c>
    </row>
    <row r="1354" spans="2:19" ht="13.5" thickBot="1" x14ac:dyDescent="0.25">
      <c r="B1354" s="83">
        <f>B1353+1</f>
        <v>781</v>
      </c>
      <c r="C1354" s="105"/>
      <c r="D1354" s="105"/>
      <c r="E1354" s="105"/>
      <c r="F1354" s="106" t="s">
        <v>80</v>
      </c>
      <c r="G1354" s="105">
        <v>640</v>
      </c>
      <c r="H1354" s="105" t="s">
        <v>141</v>
      </c>
      <c r="I1354" s="107">
        <v>3903</v>
      </c>
      <c r="J1354" s="107">
        <v>204</v>
      </c>
      <c r="K1354" s="269">
        <f t="shared" si="114"/>
        <v>5.2267486548808613</v>
      </c>
      <c r="L1354" s="278"/>
      <c r="M1354" s="345"/>
      <c r="N1354" s="107"/>
      <c r="O1354" s="269"/>
      <c r="P1354" s="278"/>
      <c r="Q1354" s="345">
        <f t="shared" si="113"/>
        <v>3903</v>
      </c>
      <c r="R1354" s="107">
        <f t="shared" si="113"/>
        <v>204</v>
      </c>
      <c r="S1354" s="259">
        <f t="shared" si="115"/>
        <v>5.2267486548808613</v>
      </c>
    </row>
    <row r="1360" spans="2:19" ht="27.75" thickBot="1" x14ac:dyDescent="0.4">
      <c r="B1360" s="515" t="s">
        <v>1</v>
      </c>
      <c r="C1360" s="516"/>
      <c r="D1360" s="516"/>
      <c r="E1360" s="516"/>
      <c r="F1360" s="516"/>
      <c r="G1360" s="516"/>
      <c r="H1360" s="516"/>
      <c r="I1360" s="516"/>
      <c r="J1360" s="516"/>
      <c r="K1360" s="516"/>
      <c r="L1360" s="516"/>
      <c r="M1360" s="516"/>
      <c r="N1360" s="516"/>
      <c r="O1360" s="516"/>
      <c r="P1360" s="516"/>
      <c r="Q1360" s="516"/>
    </row>
    <row r="1361" spans="2:19" ht="13.5" thickBot="1" x14ac:dyDescent="0.25">
      <c r="B1361" s="539" t="s">
        <v>352</v>
      </c>
      <c r="C1361" s="540"/>
      <c r="D1361" s="540"/>
      <c r="E1361" s="540"/>
      <c r="F1361" s="540"/>
      <c r="G1361" s="540"/>
      <c r="H1361" s="540"/>
      <c r="I1361" s="540"/>
      <c r="J1361" s="540"/>
      <c r="K1361" s="540"/>
      <c r="L1361" s="540"/>
      <c r="M1361" s="540"/>
      <c r="N1361" s="540"/>
      <c r="O1361" s="541"/>
      <c r="P1361" s="422"/>
      <c r="Q1361" s="520" t="s">
        <v>662</v>
      </c>
      <c r="R1361" s="496" t="s">
        <v>668</v>
      </c>
      <c r="S1361" s="499" t="s">
        <v>663</v>
      </c>
    </row>
    <row r="1362" spans="2:19" x14ac:dyDescent="0.2">
      <c r="B1362" s="522"/>
      <c r="C1362" s="525" t="s">
        <v>126</v>
      </c>
      <c r="D1362" s="525" t="s">
        <v>127</v>
      </c>
      <c r="E1362" s="525"/>
      <c r="F1362" s="525" t="s">
        <v>128</v>
      </c>
      <c r="G1362" s="506" t="s">
        <v>129</v>
      </c>
      <c r="H1362" s="509" t="s">
        <v>130</v>
      </c>
      <c r="I1362" s="496" t="s">
        <v>664</v>
      </c>
      <c r="J1362" s="496" t="s">
        <v>666</v>
      </c>
      <c r="K1362" s="499" t="s">
        <v>663</v>
      </c>
      <c r="L1362" s="423"/>
      <c r="M1362" s="512" t="s">
        <v>665</v>
      </c>
      <c r="N1362" s="496" t="s">
        <v>667</v>
      </c>
      <c r="O1362" s="499" t="s">
        <v>663</v>
      </c>
      <c r="P1362" s="423"/>
      <c r="Q1362" s="521"/>
      <c r="R1362" s="497"/>
      <c r="S1362" s="500"/>
    </row>
    <row r="1363" spans="2:19" x14ac:dyDescent="0.2">
      <c r="B1363" s="523"/>
      <c r="C1363" s="526"/>
      <c r="D1363" s="526"/>
      <c r="E1363" s="526"/>
      <c r="F1363" s="526"/>
      <c r="G1363" s="507"/>
      <c r="H1363" s="510"/>
      <c r="I1363" s="497"/>
      <c r="J1363" s="497"/>
      <c r="K1363" s="500"/>
      <c r="L1363" s="423"/>
      <c r="M1363" s="513"/>
      <c r="N1363" s="497"/>
      <c r="O1363" s="500"/>
      <c r="P1363" s="423"/>
      <c r="Q1363" s="521"/>
      <c r="R1363" s="497"/>
      <c r="S1363" s="500"/>
    </row>
    <row r="1364" spans="2:19" x14ac:dyDescent="0.2">
      <c r="B1364" s="523"/>
      <c r="C1364" s="526"/>
      <c r="D1364" s="526"/>
      <c r="E1364" s="526"/>
      <c r="F1364" s="526"/>
      <c r="G1364" s="507"/>
      <c r="H1364" s="510"/>
      <c r="I1364" s="497"/>
      <c r="J1364" s="497"/>
      <c r="K1364" s="500"/>
      <c r="L1364" s="423"/>
      <c r="M1364" s="513"/>
      <c r="N1364" s="497"/>
      <c r="O1364" s="500"/>
      <c r="P1364" s="423"/>
      <c r="Q1364" s="521"/>
      <c r="R1364" s="497"/>
      <c r="S1364" s="500"/>
    </row>
    <row r="1365" spans="2:19" ht="13.5" thickBot="1" x14ac:dyDescent="0.25">
      <c r="B1365" s="524"/>
      <c r="C1365" s="527"/>
      <c r="D1365" s="527"/>
      <c r="E1365" s="527"/>
      <c r="F1365" s="527"/>
      <c r="G1365" s="508"/>
      <c r="H1365" s="511"/>
      <c r="I1365" s="498"/>
      <c r="J1365" s="498"/>
      <c r="K1365" s="501"/>
      <c r="L1365" s="423"/>
      <c r="M1365" s="514"/>
      <c r="N1365" s="498"/>
      <c r="O1365" s="501"/>
      <c r="P1365" s="423"/>
      <c r="Q1365" s="521"/>
      <c r="R1365" s="498"/>
      <c r="S1365" s="501"/>
    </row>
    <row r="1366" spans="2:19" ht="16.5" thickTop="1" x14ac:dyDescent="0.2">
      <c r="B1366" s="168">
        <f t="shared" ref="B1366:B1429" si="117">B1365+1</f>
        <v>1</v>
      </c>
      <c r="C1366" s="502" t="s">
        <v>1</v>
      </c>
      <c r="D1366" s="503"/>
      <c r="E1366" s="503"/>
      <c r="F1366" s="503"/>
      <c r="G1366" s="503"/>
      <c r="H1366" s="504"/>
      <c r="I1366" s="34">
        <f>I1453+I1392+I1371+I1367</f>
        <v>2272381</v>
      </c>
      <c r="J1366" s="34">
        <f>J1453+J1392+J1371+J1367</f>
        <v>2095088</v>
      </c>
      <c r="K1366" s="218">
        <f t="shared" ref="K1366:K1423" si="118">J1366/I1366*100</f>
        <v>92.197919274980734</v>
      </c>
      <c r="L1366" s="288"/>
      <c r="M1366" s="281">
        <f>M1367+M1371+M1392+M1453</f>
        <v>2971550</v>
      </c>
      <c r="N1366" s="34">
        <f>N1367+N1371+N1392+N1453</f>
        <v>1788183</v>
      </c>
      <c r="O1366" s="218">
        <f t="shared" ref="O1366:O1429" si="119">N1366/M1366*100</f>
        <v>60.176776429809351</v>
      </c>
      <c r="P1366" s="288"/>
      <c r="Q1366" s="281">
        <f t="shared" ref="Q1366:R1404" si="120">I1366+M1366</f>
        <v>5243931</v>
      </c>
      <c r="R1366" s="34">
        <f t="shared" si="120"/>
        <v>3883271</v>
      </c>
      <c r="S1366" s="219">
        <f t="shared" ref="S1366:S1429" si="121">R1366/Q1366*100</f>
        <v>74.052671554984229</v>
      </c>
    </row>
    <row r="1367" spans="2:19" ht="15" x14ac:dyDescent="0.2">
      <c r="B1367" s="168">
        <f t="shared" si="117"/>
        <v>2</v>
      </c>
      <c r="C1367" s="430">
        <v>1</v>
      </c>
      <c r="D1367" s="505" t="s">
        <v>241</v>
      </c>
      <c r="E1367" s="494"/>
      <c r="F1367" s="494"/>
      <c r="G1367" s="494"/>
      <c r="H1367" s="495"/>
      <c r="I1367" s="35">
        <f>I1368</f>
        <v>3800</v>
      </c>
      <c r="J1367" s="35">
        <f>J1368</f>
        <v>1408</v>
      </c>
      <c r="K1367" s="218">
        <f t="shared" si="118"/>
        <v>37.05263157894737</v>
      </c>
      <c r="L1367" s="276"/>
      <c r="M1367" s="282">
        <v>0</v>
      </c>
      <c r="N1367" s="35"/>
      <c r="O1367" s="218"/>
      <c r="P1367" s="276"/>
      <c r="Q1367" s="282">
        <f t="shared" si="120"/>
        <v>3800</v>
      </c>
      <c r="R1367" s="35">
        <f t="shared" si="120"/>
        <v>1408</v>
      </c>
      <c r="S1367" s="219">
        <f t="shared" si="121"/>
        <v>37.05263157894737</v>
      </c>
    </row>
    <row r="1368" spans="2:19" x14ac:dyDescent="0.2">
      <c r="B1368" s="168">
        <f t="shared" si="117"/>
        <v>3</v>
      </c>
      <c r="C1368" s="7"/>
      <c r="D1368" s="7"/>
      <c r="E1368" s="7"/>
      <c r="F1368" s="24" t="s">
        <v>193</v>
      </c>
      <c r="G1368" s="7">
        <v>630</v>
      </c>
      <c r="H1368" s="7" t="s">
        <v>133</v>
      </c>
      <c r="I1368" s="22">
        <f>I1370+I1369</f>
        <v>3800</v>
      </c>
      <c r="J1368" s="22">
        <f>J1370+J1369</f>
        <v>1408</v>
      </c>
      <c r="K1368" s="218">
        <f t="shared" si="118"/>
        <v>37.05263157894737</v>
      </c>
      <c r="L1368" s="278"/>
      <c r="M1368" s="284"/>
      <c r="N1368" s="22"/>
      <c r="O1368" s="218"/>
      <c r="P1368" s="278"/>
      <c r="Q1368" s="284">
        <f t="shared" si="120"/>
        <v>3800</v>
      </c>
      <c r="R1368" s="22">
        <f t="shared" si="120"/>
        <v>1408</v>
      </c>
      <c r="S1368" s="219">
        <f t="shared" si="121"/>
        <v>37.05263157894737</v>
      </c>
    </row>
    <row r="1369" spans="2:19" x14ac:dyDescent="0.2">
      <c r="B1369" s="168">
        <f t="shared" si="117"/>
        <v>4</v>
      </c>
      <c r="C1369" s="3"/>
      <c r="D1369" s="3"/>
      <c r="E1369" s="3"/>
      <c r="F1369" s="25" t="s">
        <v>193</v>
      </c>
      <c r="G1369" s="3">
        <v>633</v>
      </c>
      <c r="H1369" s="3" t="s">
        <v>137</v>
      </c>
      <c r="I1369" s="18">
        <v>2300</v>
      </c>
      <c r="J1369" s="18"/>
      <c r="K1369" s="218">
        <f t="shared" si="118"/>
        <v>0</v>
      </c>
      <c r="L1369" s="279"/>
      <c r="M1369" s="285"/>
      <c r="N1369" s="18"/>
      <c r="O1369" s="218"/>
      <c r="P1369" s="279"/>
      <c r="Q1369" s="285">
        <f t="shared" si="120"/>
        <v>2300</v>
      </c>
      <c r="R1369" s="18">
        <f t="shared" si="120"/>
        <v>0</v>
      </c>
      <c r="S1369" s="219">
        <f t="shared" si="121"/>
        <v>0</v>
      </c>
    </row>
    <row r="1370" spans="2:19" x14ac:dyDescent="0.2">
      <c r="B1370" s="168">
        <f t="shared" si="117"/>
        <v>5</v>
      </c>
      <c r="C1370" s="3"/>
      <c r="D1370" s="3"/>
      <c r="E1370" s="3"/>
      <c r="F1370" s="25" t="s">
        <v>193</v>
      </c>
      <c r="G1370" s="3">
        <v>637</v>
      </c>
      <c r="H1370" s="3" t="s">
        <v>134</v>
      </c>
      <c r="I1370" s="18">
        <v>1500</v>
      </c>
      <c r="J1370" s="18">
        <v>1408</v>
      </c>
      <c r="K1370" s="218">
        <f t="shared" si="118"/>
        <v>93.86666666666666</v>
      </c>
      <c r="L1370" s="279"/>
      <c r="M1370" s="285"/>
      <c r="N1370" s="18"/>
      <c r="O1370" s="218"/>
      <c r="P1370" s="279"/>
      <c r="Q1370" s="285">
        <f t="shared" si="120"/>
        <v>1500</v>
      </c>
      <c r="R1370" s="18">
        <f t="shared" si="120"/>
        <v>1408</v>
      </c>
      <c r="S1370" s="219">
        <f t="shared" si="121"/>
        <v>93.86666666666666</v>
      </c>
    </row>
    <row r="1371" spans="2:19" ht="15" x14ac:dyDescent="0.2">
      <c r="B1371" s="168">
        <f t="shared" si="117"/>
        <v>6</v>
      </c>
      <c r="C1371" s="430">
        <v>2</v>
      </c>
      <c r="D1371" s="505" t="s">
        <v>20</v>
      </c>
      <c r="E1371" s="494"/>
      <c r="F1371" s="494"/>
      <c r="G1371" s="494"/>
      <c r="H1371" s="495"/>
      <c r="I1371" s="35">
        <f>I1372</f>
        <v>697951</v>
      </c>
      <c r="J1371" s="35">
        <f>J1372</f>
        <v>697581</v>
      </c>
      <c r="K1371" s="218">
        <f t="shared" si="118"/>
        <v>99.946987682516394</v>
      </c>
      <c r="L1371" s="276"/>
      <c r="M1371" s="282">
        <f>M1390</f>
        <v>40150</v>
      </c>
      <c r="N1371" s="35">
        <f>N1390</f>
        <v>40150</v>
      </c>
      <c r="O1371" s="218">
        <f t="shared" si="119"/>
        <v>100</v>
      </c>
      <c r="P1371" s="276"/>
      <c r="Q1371" s="282">
        <f t="shared" si="120"/>
        <v>738101</v>
      </c>
      <c r="R1371" s="35">
        <f t="shared" si="120"/>
        <v>737731</v>
      </c>
      <c r="S1371" s="219">
        <f t="shared" si="121"/>
        <v>99.949871359068737</v>
      </c>
    </row>
    <row r="1372" spans="2:19" x14ac:dyDescent="0.2">
      <c r="B1372" s="168">
        <f t="shared" si="117"/>
        <v>7</v>
      </c>
      <c r="C1372" s="7"/>
      <c r="D1372" s="7"/>
      <c r="E1372" s="7"/>
      <c r="F1372" s="24" t="s">
        <v>193</v>
      </c>
      <c r="G1372" s="7">
        <v>640</v>
      </c>
      <c r="H1372" s="7" t="s">
        <v>141</v>
      </c>
      <c r="I1372" s="22">
        <f>SUM(I1373:I1389)</f>
        <v>697951</v>
      </c>
      <c r="J1372" s="22">
        <f>SUM(J1373:J1389)</f>
        <v>697581</v>
      </c>
      <c r="K1372" s="218">
        <f t="shared" si="118"/>
        <v>99.946987682516394</v>
      </c>
      <c r="L1372" s="278"/>
      <c r="M1372" s="284"/>
      <c r="N1372" s="22"/>
      <c r="O1372" s="218"/>
      <c r="P1372" s="278"/>
      <c r="Q1372" s="284">
        <f t="shared" si="120"/>
        <v>697951</v>
      </c>
      <c r="R1372" s="22">
        <f t="shared" si="120"/>
        <v>697581</v>
      </c>
      <c r="S1372" s="219">
        <f t="shared" si="121"/>
        <v>99.946987682516394</v>
      </c>
    </row>
    <row r="1373" spans="2:19" x14ac:dyDescent="0.2">
      <c r="B1373" s="168">
        <f t="shared" si="117"/>
        <v>8</v>
      </c>
      <c r="C1373" s="4"/>
      <c r="D1373" s="4"/>
      <c r="E1373" s="4"/>
      <c r="F1373" s="26"/>
      <c r="G1373" s="4"/>
      <c r="H1373" s="4" t="s">
        <v>194</v>
      </c>
      <c r="I1373" s="21">
        <v>50000</v>
      </c>
      <c r="J1373" s="21">
        <v>50000</v>
      </c>
      <c r="K1373" s="218">
        <f t="shared" si="118"/>
        <v>100</v>
      </c>
      <c r="L1373" s="280"/>
      <c r="M1373" s="286"/>
      <c r="N1373" s="20"/>
      <c r="O1373" s="218"/>
      <c r="P1373" s="280"/>
      <c r="Q1373" s="286">
        <f t="shared" si="120"/>
        <v>50000</v>
      </c>
      <c r="R1373" s="20">
        <f t="shared" si="120"/>
        <v>50000</v>
      </c>
      <c r="S1373" s="219">
        <f t="shared" si="121"/>
        <v>100</v>
      </c>
    </row>
    <row r="1374" spans="2:19" x14ac:dyDescent="0.2">
      <c r="B1374" s="168">
        <f t="shared" si="117"/>
        <v>9</v>
      </c>
      <c r="C1374" s="4"/>
      <c r="D1374" s="4"/>
      <c r="E1374" s="4"/>
      <c r="F1374" s="26"/>
      <c r="G1374" s="4"/>
      <c r="H1374" s="4" t="s">
        <v>22</v>
      </c>
      <c r="I1374" s="21">
        <v>10000</v>
      </c>
      <c r="J1374" s="21">
        <v>9630</v>
      </c>
      <c r="K1374" s="218">
        <f t="shared" si="118"/>
        <v>96.3</v>
      </c>
      <c r="L1374" s="280"/>
      <c r="M1374" s="286"/>
      <c r="N1374" s="20"/>
      <c r="O1374" s="218"/>
      <c r="P1374" s="280"/>
      <c r="Q1374" s="286">
        <f t="shared" si="120"/>
        <v>10000</v>
      </c>
      <c r="R1374" s="20">
        <f t="shared" si="120"/>
        <v>9630</v>
      </c>
      <c r="S1374" s="219">
        <f t="shared" si="121"/>
        <v>96.3</v>
      </c>
    </row>
    <row r="1375" spans="2:19" x14ac:dyDescent="0.2">
      <c r="B1375" s="168">
        <f t="shared" si="117"/>
        <v>10</v>
      </c>
      <c r="C1375" s="4"/>
      <c r="D1375" s="4"/>
      <c r="E1375" s="4"/>
      <c r="F1375" s="26"/>
      <c r="G1375" s="4"/>
      <c r="H1375" s="4" t="s">
        <v>21</v>
      </c>
      <c r="I1375" s="21">
        <v>20000</v>
      </c>
      <c r="J1375" s="21">
        <v>20000</v>
      </c>
      <c r="K1375" s="218">
        <f t="shared" si="118"/>
        <v>100</v>
      </c>
      <c r="L1375" s="280"/>
      <c r="M1375" s="286"/>
      <c r="N1375" s="20"/>
      <c r="O1375" s="218"/>
      <c r="P1375" s="280"/>
      <c r="Q1375" s="286">
        <f t="shared" si="120"/>
        <v>20000</v>
      </c>
      <c r="R1375" s="20">
        <f t="shared" si="120"/>
        <v>20000</v>
      </c>
      <c r="S1375" s="219">
        <f t="shared" si="121"/>
        <v>100</v>
      </c>
    </row>
    <row r="1376" spans="2:19" x14ac:dyDescent="0.2">
      <c r="B1376" s="168">
        <f t="shared" si="117"/>
        <v>11</v>
      </c>
      <c r="C1376" s="4"/>
      <c r="D1376" s="4"/>
      <c r="E1376" s="4"/>
      <c r="F1376" s="26"/>
      <c r="G1376" s="4"/>
      <c r="H1376" s="4" t="s">
        <v>0</v>
      </c>
      <c r="I1376" s="21">
        <v>100000</v>
      </c>
      <c r="J1376" s="21">
        <v>100000</v>
      </c>
      <c r="K1376" s="218">
        <f t="shared" si="118"/>
        <v>100</v>
      </c>
      <c r="L1376" s="280"/>
      <c r="M1376" s="286"/>
      <c r="N1376" s="20"/>
      <c r="O1376" s="218"/>
      <c r="P1376" s="280"/>
      <c r="Q1376" s="286">
        <f t="shared" si="120"/>
        <v>100000</v>
      </c>
      <c r="R1376" s="20">
        <f t="shared" si="120"/>
        <v>100000</v>
      </c>
      <c r="S1376" s="219">
        <f t="shared" si="121"/>
        <v>100</v>
      </c>
    </row>
    <row r="1377" spans="2:19" ht="22.5" x14ac:dyDescent="0.2">
      <c r="B1377" s="168">
        <f t="shared" si="117"/>
        <v>12</v>
      </c>
      <c r="C1377" s="134"/>
      <c r="D1377" s="134"/>
      <c r="E1377" s="134"/>
      <c r="F1377" s="135"/>
      <c r="G1377" s="134"/>
      <c r="H1377" s="153" t="s">
        <v>331</v>
      </c>
      <c r="I1377" s="154">
        <v>204342</v>
      </c>
      <c r="J1377" s="154">
        <v>204342</v>
      </c>
      <c r="K1377" s="218">
        <f t="shared" si="118"/>
        <v>100</v>
      </c>
      <c r="L1377" s="296"/>
      <c r="M1377" s="301"/>
      <c r="N1377" s="136"/>
      <c r="O1377" s="218"/>
      <c r="P1377" s="296"/>
      <c r="Q1377" s="301">
        <f t="shared" si="120"/>
        <v>204342</v>
      </c>
      <c r="R1377" s="136">
        <f t="shared" si="120"/>
        <v>204342</v>
      </c>
      <c r="S1377" s="219">
        <f t="shared" si="121"/>
        <v>100</v>
      </c>
    </row>
    <row r="1378" spans="2:19" ht="22.5" x14ac:dyDescent="0.2">
      <c r="B1378" s="168">
        <f t="shared" si="117"/>
        <v>13</v>
      </c>
      <c r="C1378" s="134"/>
      <c r="D1378" s="134"/>
      <c r="E1378" s="134"/>
      <c r="F1378" s="135"/>
      <c r="G1378" s="134"/>
      <c r="H1378" s="153" t="s">
        <v>330</v>
      </c>
      <c r="I1378" s="154">
        <f>122923+20000</f>
        <v>142923</v>
      </c>
      <c r="J1378" s="154">
        <v>142923</v>
      </c>
      <c r="K1378" s="218">
        <f t="shared" si="118"/>
        <v>100</v>
      </c>
      <c r="L1378" s="296"/>
      <c r="M1378" s="301"/>
      <c r="N1378" s="136"/>
      <c r="O1378" s="218"/>
      <c r="P1378" s="296"/>
      <c r="Q1378" s="301">
        <f t="shared" si="120"/>
        <v>142923</v>
      </c>
      <c r="R1378" s="136">
        <f t="shared" si="120"/>
        <v>142923</v>
      </c>
      <c r="S1378" s="219">
        <f t="shared" si="121"/>
        <v>100</v>
      </c>
    </row>
    <row r="1379" spans="2:19" ht="22.5" x14ac:dyDescent="0.2">
      <c r="B1379" s="168">
        <f t="shared" si="117"/>
        <v>14</v>
      </c>
      <c r="C1379" s="134"/>
      <c r="D1379" s="134"/>
      <c r="E1379" s="134"/>
      <c r="F1379" s="135"/>
      <c r="G1379" s="134"/>
      <c r="H1379" s="153" t="s">
        <v>554</v>
      </c>
      <c r="I1379" s="154">
        <v>50000</v>
      </c>
      <c r="J1379" s="154">
        <v>50000</v>
      </c>
      <c r="K1379" s="218">
        <f t="shared" si="118"/>
        <v>100</v>
      </c>
      <c r="L1379" s="296"/>
      <c r="M1379" s="301"/>
      <c r="N1379" s="136"/>
      <c r="O1379" s="218"/>
      <c r="P1379" s="296"/>
      <c r="Q1379" s="301">
        <f t="shared" si="120"/>
        <v>50000</v>
      </c>
      <c r="R1379" s="136">
        <f t="shared" si="120"/>
        <v>50000</v>
      </c>
      <c r="S1379" s="219">
        <f t="shared" si="121"/>
        <v>100</v>
      </c>
    </row>
    <row r="1380" spans="2:19" ht="22.5" x14ac:dyDescent="0.2">
      <c r="B1380" s="168">
        <f t="shared" si="117"/>
        <v>15</v>
      </c>
      <c r="C1380" s="134"/>
      <c r="D1380" s="134"/>
      <c r="E1380" s="134"/>
      <c r="F1380" s="135"/>
      <c r="G1380" s="134"/>
      <c r="H1380" s="153" t="s">
        <v>332</v>
      </c>
      <c r="I1380" s="154">
        <v>28100</v>
      </c>
      <c r="J1380" s="154">
        <v>28100</v>
      </c>
      <c r="K1380" s="218">
        <f t="shared" si="118"/>
        <v>100</v>
      </c>
      <c r="L1380" s="296"/>
      <c r="M1380" s="301"/>
      <c r="N1380" s="136"/>
      <c r="O1380" s="218"/>
      <c r="P1380" s="296"/>
      <c r="Q1380" s="301">
        <f t="shared" si="120"/>
        <v>28100</v>
      </c>
      <c r="R1380" s="136">
        <f t="shared" si="120"/>
        <v>28100</v>
      </c>
      <c r="S1380" s="219">
        <f t="shared" si="121"/>
        <v>100</v>
      </c>
    </row>
    <row r="1381" spans="2:19" ht="22.5" x14ac:dyDescent="0.2">
      <c r="B1381" s="168">
        <f t="shared" si="117"/>
        <v>16</v>
      </c>
      <c r="C1381" s="134"/>
      <c r="D1381" s="134"/>
      <c r="E1381" s="134"/>
      <c r="F1381" s="135"/>
      <c r="G1381" s="134"/>
      <c r="H1381" s="153" t="s">
        <v>333</v>
      </c>
      <c r="I1381" s="154">
        <v>51086</v>
      </c>
      <c r="J1381" s="154">
        <v>51086</v>
      </c>
      <c r="K1381" s="218">
        <f t="shared" si="118"/>
        <v>100</v>
      </c>
      <c r="L1381" s="296"/>
      <c r="M1381" s="301"/>
      <c r="N1381" s="136"/>
      <c r="O1381" s="218"/>
      <c r="P1381" s="296"/>
      <c r="Q1381" s="301">
        <f t="shared" si="120"/>
        <v>51086</v>
      </c>
      <c r="R1381" s="136">
        <f t="shared" si="120"/>
        <v>51086</v>
      </c>
      <c r="S1381" s="219">
        <f t="shared" si="121"/>
        <v>100</v>
      </c>
    </row>
    <row r="1382" spans="2:19" x14ac:dyDescent="0.2">
      <c r="B1382" s="168">
        <f t="shared" si="117"/>
        <v>17</v>
      </c>
      <c r="C1382" s="4"/>
      <c r="D1382" s="4"/>
      <c r="E1382" s="4"/>
      <c r="F1382" s="26"/>
      <c r="G1382" s="4"/>
      <c r="H1382" s="33" t="s">
        <v>334</v>
      </c>
      <c r="I1382" s="21">
        <v>5000</v>
      </c>
      <c r="J1382" s="21">
        <v>5000</v>
      </c>
      <c r="K1382" s="218">
        <f t="shared" si="118"/>
        <v>100</v>
      </c>
      <c r="L1382" s="280"/>
      <c r="M1382" s="286"/>
      <c r="N1382" s="20"/>
      <c r="O1382" s="218"/>
      <c r="P1382" s="280"/>
      <c r="Q1382" s="286">
        <f t="shared" si="120"/>
        <v>5000</v>
      </c>
      <c r="R1382" s="20">
        <f t="shared" si="120"/>
        <v>5000</v>
      </c>
      <c r="S1382" s="219">
        <f t="shared" si="121"/>
        <v>100</v>
      </c>
    </row>
    <row r="1383" spans="2:19" x14ac:dyDescent="0.2">
      <c r="B1383" s="168">
        <f t="shared" si="117"/>
        <v>18</v>
      </c>
      <c r="C1383" s="4"/>
      <c r="D1383" s="4"/>
      <c r="E1383" s="4"/>
      <c r="F1383" s="26"/>
      <c r="G1383" s="4"/>
      <c r="H1383" s="33" t="s">
        <v>335</v>
      </c>
      <c r="I1383" s="21">
        <v>5000</v>
      </c>
      <c r="J1383" s="21">
        <v>5000</v>
      </c>
      <c r="K1383" s="218">
        <f t="shared" si="118"/>
        <v>100</v>
      </c>
      <c r="L1383" s="280"/>
      <c r="M1383" s="286"/>
      <c r="N1383" s="20"/>
      <c r="O1383" s="218"/>
      <c r="P1383" s="280"/>
      <c r="Q1383" s="286">
        <f t="shared" si="120"/>
        <v>5000</v>
      </c>
      <c r="R1383" s="20">
        <f t="shared" si="120"/>
        <v>5000</v>
      </c>
      <c r="S1383" s="219">
        <f t="shared" si="121"/>
        <v>100</v>
      </c>
    </row>
    <row r="1384" spans="2:19" x14ac:dyDescent="0.2">
      <c r="B1384" s="169">
        <f t="shared" si="117"/>
        <v>19</v>
      </c>
      <c r="C1384" s="4"/>
      <c r="D1384" s="4"/>
      <c r="E1384" s="4"/>
      <c r="F1384" s="26"/>
      <c r="G1384" s="4"/>
      <c r="H1384" s="33" t="s">
        <v>336</v>
      </c>
      <c r="I1384" s="21">
        <v>3000</v>
      </c>
      <c r="J1384" s="21">
        <v>3000</v>
      </c>
      <c r="K1384" s="218">
        <f t="shared" si="118"/>
        <v>100</v>
      </c>
      <c r="L1384" s="280"/>
      <c r="M1384" s="286"/>
      <c r="N1384" s="20"/>
      <c r="O1384" s="218"/>
      <c r="P1384" s="280"/>
      <c r="Q1384" s="286">
        <f t="shared" si="120"/>
        <v>3000</v>
      </c>
      <c r="R1384" s="20">
        <f t="shared" si="120"/>
        <v>3000</v>
      </c>
      <c r="S1384" s="219">
        <f t="shared" si="121"/>
        <v>100</v>
      </c>
    </row>
    <row r="1385" spans="2:19" ht="22.5" x14ac:dyDescent="0.2">
      <c r="B1385" s="169">
        <f t="shared" si="117"/>
        <v>20</v>
      </c>
      <c r="C1385" s="4"/>
      <c r="D1385" s="4"/>
      <c r="E1385" s="4"/>
      <c r="F1385" s="26"/>
      <c r="G1385" s="4"/>
      <c r="H1385" s="33" t="s">
        <v>588</v>
      </c>
      <c r="I1385" s="21">
        <v>2500</v>
      </c>
      <c r="J1385" s="21">
        <v>2500</v>
      </c>
      <c r="K1385" s="218">
        <f t="shared" si="118"/>
        <v>100</v>
      </c>
      <c r="L1385" s="280"/>
      <c r="M1385" s="286"/>
      <c r="N1385" s="20"/>
      <c r="O1385" s="218"/>
      <c r="P1385" s="280"/>
      <c r="Q1385" s="286">
        <f t="shared" si="120"/>
        <v>2500</v>
      </c>
      <c r="R1385" s="20">
        <f t="shared" si="120"/>
        <v>2500</v>
      </c>
      <c r="S1385" s="219">
        <f t="shared" si="121"/>
        <v>100</v>
      </c>
    </row>
    <row r="1386" spans="2:19" ht="22.5" x14ac:dyDescent="0.2">
      <c r="B1386" s="169">
        <f t="shared" si="117"/>
        <v>21</v>
      </c>
      <c r="C1386" s="4"/>
      <c r="D1386" s="4"/>
      <c r="E1386" s="4"/>
      <c r="F1386" s="26"/>
      <c r="G1386" s="4"/>
      <c r="H1386" s="33" t="s">
        <v>592</v>
      </c>
      <c r="I1386" s="21">
        <v>1000</v>
      </c>
      <c r="J1386" s="21">
        <v>1000</v>
      </c>
      <c r="K1386" s="218">
        <f t="shared" si="118"/>
        <v>100</v>
      </c>
      <c r="L1386" s="280"/>
      <c r="M1386" s="286"/>
      <c r="N1386" s="20"/>
      <c r="O1386" s="218"/>
      <c r="P1386" s="280"/>
      <c r="Q1386" s="286">
        <f t="shared" si="120"/>
        <v>1000</v>
      </c>
      <c r="R1386" s="20">
        <f t="shared" si="120"/>
        <v>1000</v>
      </c>
      <c r="S1386" s="219">
        <f t="shared" si="121"/>
        <v>100</v>
      </c>
    </row>
    <row r="1387" spans="2:19" ht="22.5" x14ac:dyDescent="0.2">
      <c r="B1387" s="169">
        <f t="shared" si="117"/>
        <v>22</v>
      </c>
      <c r="C1387" s="4"/>
      <c r="D1387" s="4"/>
      <c r="E1387" s="4"/>
      <c r="F1387" s="26"/>
      <c r="G1387" s="4"/>
      <c r="H1387" s="33" t="s">
        <v>603</v>
      </c>
      <c r="I1387" s="21">
        <v>1000</v>
      </c>
      <c r="J1387" s="21">
        <v>1000</v>
      </c>
      <c r="K1387" s="218">
        <f t="shared" si="118"/>
        <v>100</v>
      </c>
      <c r="L1387" s="280"/>
      <c r="M1387" s="286"/>
      <c r="N1387" s="20"/>
      <c r="O1387" s="218"/>
      <c r="P1387" s="280"/>
      <c r="Q1387" s="286">
        <f t="shared" si="120"/>
        <v>1000</v>
      </c>
      <c r="R1387" s="20">
        <f t="shared" si="120"/>
        <v>1000</v>
      </c>
      <c r="S1387" s="219">
        <f t="shared" si="121"/>
        <v>100</v>
      </c>
    </row>
    <row r="1388" spans="2:19" x14ac:dyDescent="0.2">
      <c r="B1388" s="169">
        <f t="shared" si="117"/>
        <v>23</v>
      </c>
      <c r="C1388" s="4"/>
      <c r="D1388" s="4"/>
      <c r="E1388" s="4"/>
      <c r="F1388" s="26"/>
      <c r="G1388" s="4"/>
      <c r="H1388" s="33" t="s">
        <v>604</v>
      </c>
      <c r="I1388" s="21">
        <v>20000</v>
      </c>
      <c r="J1388" s="21">
        <v>20000</v>
      </c>
      <c r="K1388" s="218">
        <f t="shared" si="118"/>
        <v>100</v>
      </c>
      <c r="L1388" s="280"/>
      <c r="M1388" s="286"/>
      <c r="N1388" s="20"/>
      <c r="O1388" s="218"/>
      <c r="P1388" s="280"/>
      <c r="Q1388" s="286">
        <f t="shared" si="120"/>
        <v>20000</v>
      </c>
      <c r="R1388" s="20">
        <f t="shared" si="120"/>
        <v>20000</v>
      </c>
      <c r="S1388" s="219">
        <f t="shared" si="121"/>
        <v>100</v>
      </c>
    </row>
    <row r="1389" spans="2:19" ht="22.5" x14ac:dyDescent="0.2">
      <c r="B1389" s="169">
        <f t="shared" si="117"/>
        <v>24</v>
      </c>
      <c r="C1389" s="4"/>
      <c r="D1389" s="4"/>
      <c r="E1389" s="4"/>
      <c r="F1389" s="26"/>
      <c r="G1389" s="4"/>
      <c r="H1389" s="33" t="s">
        <v>605</v>
      </c>
      <c r="I1389" s="21">
        <v>4000</v>
      </c>
      <c r="J1389" s="21">
        <v>4000</v>
      </c>
      <c r="K1389" s="218">
        <f t="shared" si="118"/>
        <v>100</v>
      </c>
      <c r="L1389" s="280"/>
      <c r="M1389" s="286"/>
      <c r="N1389" s="20"/>
      <c r="O1389" s="218"/>
      <c r="P1389" s="280"/>
      <c r="Q1389" s="286">
        <f t="shared" si="120"/>
        <v>4000</v>
      </c>
      <c r="R1389" s="20">
        <f t="shared" si="120"/>
        <v>4000</v>
      </c>
      <c r="S1389" s="219">
        <f t="shared" si="121"/>
        <v>100</v>
      </c>
    </row>
    <row r="1390" spans="2:19" x14ac:dyDescent="0.2">
      <c r="B1390" s="169">
        <f t="shared" si="117"/>
        <v>25</v>
      </c>
      <c r="C1390" s="4"/>
      <c r="D1390" s="4"/>
      <c r="E1390" s="4"/>
      <c r="F1390" s="24" t="s">
        <v>193</v>
      </c>
      <c r="G1390" s="7">
        <v>720</v>
      </c>
      <c r="H1390" s="7" t="s">
        <v>553</v>
      </c>
      <c r="I1390" s="22"/>
      <c r="J1390" s="22"/>
      <c r="K1390" s="218"/>
      <c r="L1390" s="278"/>
      <c r="M1390" s="284">
        <f>M1391</f>
        <v>40150</v>
      </c>
      <c r="N1390" s="22">
        <f>N1391</f>
        <v>40150</v>
      </c>
      <c r="O1390" s="218">
        <f t="shared" si="119"/>
        <v>100</v>
      </c>
      <c r="P1390" s="278"/>
      <c r="Q1390" s="284">
        <f t="shared" si="120"/>
        <v>40150</v>
      </c>
      <c r="R1390" s="22">
        <f t="shared" si="120"/>
        <v>40150</v>
      </c>
      <c r="S1390" s="219">
        <f t="shared" si="121"/>
        <v>100</v>
      </c>
    </row>
    <row r="1391" spans="2:19" ht="24" x14ac:dyDescent="0.2">
      <c r="B1391" s="169">
        <f t="shared" si="117"/>
        <v>26</v>
      </c>
      <c r="C1391" s="135"/>
      <c r="D1391" s="135"/>
      <c r="E1391" s="135"/>
      <c r="F1391" s="171"/>
      <c r="G1391" s="172">
        <v>720</v>
      </c>
      <c r="H1391" s="174" t="s">
        <v>552</v>
      </c>
      <c r="I1391" s="173"/>
      <c r="J1391" s="173"/>
      <c r="K1391" s="218"/>
      <c r="L1391" s="351"/>
      <c r="M1391" s="352">
        <v>40150</v>
      </c>
      <c r="N1391" s="175">
        <v>40150</v>
      </c>
      <c r="O1391" s="218">
        <f t="shared" si="119"/>
        <v>100</v>
      </c>
      <c r="P1391" s="350"/>
      <c r="Q1391" s="352">
        <f t="shared" si="120"/>
        <v>40150</v>
      </c>
      <c r="R1391" s="175">
        <f t="shared" si="120"/>
        <v>40150</v>
      </c>
      <c r="S1391" s="219">
        <f t="shared" si="121"/>
        <v>100</v>
      </c>
    </row>
    <row r="1392" spans="2:19" ht="15" x14ac:dyDescent="0.2">
      <c r="B1392" s="168">
        <f t="shared" si="117"/>
        <v>27</v>
      </c>
      <c r="C1392" s="430">
        <v>3</v>
      </c>
      <c r="D1392" s="505" t="s">
        <v>213</v>
      </c>
      <c r="E1392" s="494"/>
      <c r="F1392" s="494"/>
      <c r="G1392" s="494"/>
      <c r="H1392" s="495"/>
      <c r="I1392" s="35">
        <f>I1443+I1423+I1405+I1397+I1393</f>
        <v>1501340</v>
      </c>
      <c r="J1392" s="35">
        <f>J1443+J1423+J1405+J1397+J1393</f>
        <v>1338928</v>
      </c>
      <c r="K1392" s="218">
        <f t="shared" si="118"/>
        <v>89.182197237134829</v>
      </c>
      <c r="L1392" s="276"/>
      <c r="M1392" s="282">
        <f>M1393+M1397+M1405+M1423+M1443</f>
        <v>1363532</v>
      </c>
      <c r="N1392" s="35">
        <f>N1393+N1397+N1405+N1423+N1443</f>
        <v>1360249</v>
      </c>
      <c r="O1392" s="218">
        <f t="shared" si="119"/>
        <v>99.759228239601271</v>
      </c>
      <c r="P1392" s="276"/>
      <c r="Q1392" s="282">
        <f t="shared" si="120"/>
        <v>2864872</v>
      </c>
      <c r="R1392" s="35">
        <f t="shared" si="120"/>
        <v>2699177</v>
      </c>
      <c r="S1392" s="219">
        <f t="shared" si="121"/>
        <v>94.216321008408059</v>
      </c>
    </row>
    <row r="1393" spans="2:19" ht="15" x14ac:dyDescent="0.25">
      <c r="B1393" s="168">
        <f t="shared" si="117"/>
        <v>28</v>
      </c>
      <c r="C1393" s="429"/>
      <c r="D1393" s="429">
        <v>1</v>
      </c>
      <c r="E1393" s="493" t="s">
        <v>212</v>
      </c>
      <c r="F1393" s="494"/>
      <c r="G1393" s="494"/>
      <c r="H1393" s="495"/>
      <c r="I1393" s="36">
        <f>I1394</f>
        <v>160950</v>
      </c>
      <c r="J1393" s="36">
        <f>J1394</f>
        <v>160950</v>
      </c>
      <c r="K1393" s="218">
        <f t="shared" si="118"/>
        <v>100</v>
      </c>
      <c r="L1393" s="277"/>
      <c r="M1393" s="283">
        <v>0</v>
      </c>
      <c r="N1393" s="36"/>
      <c r="O1393" s="218"/>
      <c r="P1393" s="277"/>
      <c r="Q1393" s="283">
        <f t="shared" si="120"/>
        <v>160950</v>
      </c>
      <c r="R1393" s="36">
        <f t="shared" si="120"/>
        <v>160950</v>
      </c>
      <c r="S1393" s="219">
        <f t="shared" si="121"/>
        <v>100</v>
      </c>
    </row>
    <row r="1394" spans="2:19" x14ac:dyDescent="0.2">
      <c r="B1394" s="168">
        <f t="shared" si="117"/>
        <v>29</v>
      </c>
      <c r="C1394" s="7"/>
      <c r="D1394" s="7"/>
      <c r="E1394" s="7"/>
      <c r="F1394" s="24" t="s">
        <v>193</v>
      </c>
      <c r="G1394" s="7">
        <v>630</v>
      </c>
      <c r="H1394" s="7" t="s">
        <v>133</v>
      </c>
      <c r="I1394" s="22">
        <f>SUM(I1395:I1396)</f>
        <v>160950</v>
      </c>
      <c r="J1394" s="22">
        <f>SUM(J1395:J1396)</f>
        <v>160950</v>
      </c>
      <c r="K1394" s="218">
        <f t="shared" si="118"/>
        <v>100</v>
      </c>
      <c r="L1394" s="278"/>
      <c r="M1394" s="284"/>
      <c r="N1394" s="22"/>
      <c r="O1394" s="218"/>
      <c r="P1394" s="278"/>
      <c r="Q1394" s="284">
        <f t="shared" si="120"/>
        <v>160950</v>
      </c>
      <c r="R1394" s="22">
        <f t="shared" si="120"/>
        <v>160950</v>
      </c>
      <c r="S1394" s="219">
        <f t="shared" si="121"/>
        <v>100</v>
      </c>
    </row>
    <row r="1395" spans="2:19" x14ac:dyDescent="0.2">
      <c r="B1395" s="168">
        <f t="shared" si="117"/>
        <v>30</v>
      </c>
      <c r="C1395" s="3"/>
      <c r="D1395" s="3"/>
      <c r="E1395" s="3"/>
      <c r="F1395" s="25" t="s">
        <v>193</v>
      </c>
      <c r="G1395" s="3">
        <v>636</v>
      </c>
      <c r="H1395" s="3" t="s">
        <v>138</v>
      </c>
      <c r="I1395" s="18">
        <v>159950</v>
      </c>
      <c r="J1395" s="18">
        <v>159950</v>
      </c>
      <c r="K1395" s="218">
        <f t="shared" si="118"/>
        <v>100</v>
      </c>
      <c r="L1395" s="279"/>
      <c r="M1395" s="285"/>
      <c r="N1395" s="18"/>
      <c r="O1395" s="218"/>
      <c r="P1395" s="279"/>
      <c r="Q1395" s="285">
        <f t="shared" si="120"/>
        <v>159950</v>
      </c>
      <c r="R1395" s="18">
        <f t="shared" si="120"/>
        <v>159950</v>
      </c>
      <c r="S1395" s="219">
        <f t="shared" si="121"/>
        <v>100</v>
      </c>
    </row>
    <row r="1396" spans="2:19" x14ac:dyDescent="0.2">
      <c r="B1396" s="168">
        <f t="shared" si="117"/>
        <v>31</v>
      </c>
      <c r="C1396" s="3"/>
      <c r="D1396" s="3"/>
      <c r="E1396" s="3"/>
      <c r="F1396" s="25" t="s">
        <v>193</v>
      </c>
      <c r="G1396" s="3">
        <v>637</v>
      </c>
      <c r="H1396" s="3" t="s">
        <v>134</v>
      </c>
      <c r="I1396" s="18">
        <v>1000</v>
      </c>
      <c r="J1396" s="18">
        <v>1000</v>
      </c>
      <c r="K1396" s="218">
        <f t="shared" si="118"/>
        <v>100</v>
      </c>
      <c r="L1396" s="279"/>
      <c r="M1396" s="285"/>
      <c r="N1396" s="18"/>
      <c r="O1396" s="218"/>
      <c r="P1396" s="279"/>
      <c r="Q1396" s="285">
        <f t="shared" si="120"/>
        <v>1000</v>
      </c>
      <c r="R1396" s="18">
        <f t="shared" si="120"/>
        <v>1000</v>
      </c>
      <c r="S1396" s="219">
        <f t="shared" si="121"/>
        <v>100</v>
      </c>
    </row>
    <row r="1397" spans="2:19" ht="15" x14ac:dyDescent="0.25">
      <c r="B1397" s="168">
        <f t="shared" si="117"/>
        <v>32</v>
      </c>
      <c r="C1397" s="429"/>
      <c r="D1397" s="429">
        <v>2</v>
      </c>
      <c r="E1397" s="493" t="s">
        <v>214</v>
      </c>
      <c r="F1397" s="494"/>
      <c r="G1397" s="494"/>
      <c r="H1397" s="495"/>
      <c r="I1397" s="36">
        <f>I1398+I1402</f>
        <v>207350</v>
      </c>
      <c r="J1397" s="36">
        <f>J1398+J1402</f>
        <v>207019</v>
      </c>
      <c r="K1397" s="218">
        <f t="shared" si="118"/>
        <v>99.840366530021711</v>
      </c>
      <c r="L1397" s="277"/>
      <c r="M1397" s="283">
        <f>M1402</f>
        <v>23850</v>
      </c>
      <c r="N1397" s="36">
        <f>N1402</f>
        <v>23350</v>
      </c>
      <c r="O1397" s="218">
        <f t="shared" si="119"/>
        <v>97.903563941299794</v>
      </c>
      <c r="P1397" s="277"/>
      <c r="Q1397" s="283">
        <f t="shared" si="120"/>
        <v>231200</v>
      </c>
      <c r="R1397" s="36">
        <f t="shared" si="120"/>
        <v>230369</v>
      </c>
      <c r="S1397" s="219">
        <f t="shared" si="121"/>
        <v>99.640570934256061</v>
      </c>
    </row>
    <row r="1398" spans="2:19" x14ac:dyDescent="0.2">
      <c r="B1398" s="168">
        <f t="shared" si="117"/>
        <v>33</v>
      </c>
      <c r="C1398" s="7"/>
      <c r="D1398" s="7"/>
      <c r="E1398" s="7"/>
      <c r="F1398" s="24" t="s">
        <v>193</v>
      </c>
      <c r="G1398" s="7">
        <v>630</v>
      </c>
      <c r="H1398" s="7" t="s">
        <v>133</v>
      </c>
      <c r="I1398" s="22">
        <f>SUM(I1399:I1401)</f>
        <v>207350</v>
      </c>
      <c r="J1398" s="22">
        <f>SUM(J1399:J1401)</f>
        <v>207019</v>
      </c>
      <c r="K1398" s="218">
        <f t="shared" si="118"/>
        <v>99.840366530021711</v>
      </c>
      <c r="L1398" s="278"/>
      <c r="M1398" s="284"/>
      <c r="N1398" s="22"/>
      <c r="O1398" s="218"/>
      <c r="P1398" s="278"/>
      <c r="Q1398" s="284">
        <f t="shared" si="120"/>
        <v>207350</v>
      </c>
      <c r="R1398" s="22">
        <f t="shared" si="120"/>
        <v>207019</v>
      </c>
      <c r="S1398" s="219">
        <f t="shared" si="121"/>
        <v>99.840366530021711</v>
      </c>
    </row>
    <row r="1399" spans="2:19" x14ac:dyDescent="0.2">
      <c r="B1399" s="168">
        <f t="shared" si="117"/>
        <v>34</v>
      </c>
      <c r="C1399" s="3"/>
      <c r="D1399" s="3"/>
      <c r="E1399" s="3"/>
      <c r="F1399" s="25" t="s">
        <v>193</v>
      </c>
      <c r="G1399" s="3">
        <v>632</v>
      </c>
      <c r="H1399" s="3" t="s">
        <v>146</v>
      </c>
      <c r="I1399" s="18">
        <f>3500+1000+1500</f>
        <v>6000</v>
      </c>
      <c r="J1399" s="18">
        <v>5773</v>
      </c>
      <c r="K1399" s="218">
        <f t="shared" si="118"/>
        <v>96.216666666666669</v>
      </c>
      <c r="L1399" s="279"/>
      <c r="M1399" s="285"/>
      <c r="N1399" s="18"/>
      <c r="O1399" s="218"/>
      <c r="P1399" s="279"/>
      <c r="Q1399" s="285">
        <f t="shared" si="120"/>
        <v>6000</v>
      </c>
      <c r="R1399" s="18">
        <f t="shared" si="120"/>
        <v>5773</v>
      </c>
      <c r="S1399" s="219">
        <f t="shared" si="121"/>
        <v>96.216666666666669</v>
      </c>
    </row>
    <row r="1400" spans="2:19" x14ac:dyDescent="0.2">
      <c r="B1400" s="168">
        <f t="shared" si="117"/>
        <v>35</v>
      </c>
      <c r="C1400" s="3"/>
      <c r="D1400" s="3"/>
      <c r="E1400" s="3"/>
      <c r="F1400" s="25" t="s">
        <v>193</v>
      </c>
      <c r="G1400" s="3">
        <v>636</v>
      </c>
      <c r="H1400" s="3" t="s">
        <v>138</v>
      </c>
      <c r="I1400" s="18">
        <v>200000</v>
      </c>
      <c r="J1400" s="18">
        <v>200000</v>
      </c>
      <c r="K1400" s="218">
        <f t="shared" si="118"/>
        <v>100</v>
      </c>
      <c r="L1400" s="279"/>
      <c r="M1400" s="285"/>
      <c r="N1400" s="18"/>
      <c r="O1400" s="218"/>
      <c r="P1400" s="279"/>
      <c r="Q1400" s="285">
        <f t="shared" si="120"/>
        <v>200000</v>
      </c>
      <c r="R1400" s="18">
        <f t="shared" si="120"/>
        <v>200000</v>
      </c>
      <c r="S1400" s="219">
        <f t="shared" si="121"/>
        <v>100</v>
      </c>
    </row>
    <row r="1401" spans="2:19" x14ac:dyDescent="0.2">
      <c r="B1401" s="168">
        <f t="shared" si="117"/>
        <v>36</v>
      </c>
      <c r="C1401" s="3"/>
      <c r="D1401" s="3"/>
      <c r="E1401" s="3"/>
      <c r="F1401" s="25" t="s">
        <v>193</v>
      </c>
      <c r="G1401" s="3">
        <v>637</v>
      </c>
      <c r="H1401" s="3" t="s">
        <v>134</v>
      </c>
      <c r="I1401" s="18">
        <v>1350</v>
      </c>
      <c r="J1401" s="18">
        <v>1246</v>
      </c>
      <c r="K1401" s="218">
        <f t="shared" si="118"/>
        <v>92.296296296296305</v>
      </c>
      <c r="L1401" s="279"/>
      <c r="M1401" s="285"/>
      <c r="N1401" s="18"/>
      <c r="O1401" s="218"/>
      <c r="P1401" s="279"/>
      <c r="Q1401" s="285">
        <f t="shared" si="120"/>
        <v>1350</v>
      </c>
      <c r="R1401" s="18">
        <f t="shared" si="120"/>
        <v>1246</v>
      </c>
      <c r="S1401" s="219">
        <f t="shared" si="121"/>
        <v>92.296296296296305</v>
      </c>
    </row>
    <row r="1402" spans="2:19" x14ac:dyDescent="0.2">
      <c r="B1402" s="168">
        <f t="shared" si="117"/>
        <v>37</v>
      </c>
      <c r="C1402" s="7"/>
      <c r="D1402" s="7"/>
      <c r="E1402" s="7"/>
      <c r="F1402" s="24" t="s">
        <v>193</v>
      </c>
      <c r="G1402" s="7">
        <v>710</v>
      </c>
      <c r="H1402" s="7" t="s">
        <v>188</v>
      </c>
      <c r="I1402" s="22"/>
      <c r="J1402" s="22"/>
      <c r="K1402" s="218"/>
      <c r="L1402" s="278"/>
      <c r="M1402" s="284">
        <f>M1403+M1404</f>
        <v>23850</v>
      </c>
      <c r="N1402" s="22">
        <f>N1403+N1404</f>
        <v>23350</v>
      </c>
      <c r="O1402" s="218">
        <f t="shared" si="119"/>
        <v>97.903563941299794</v>
      </c>
      <c r="P1402" s="278"/>
      <c r="Q1402" s="284">
        <f t="shared" si="120"/>
        <v>23850</v>
      </c>
      <c r="R1402" s="22">
        <f t="shared" si="120"/>
        <v>23350</v>
      </c>
      <c r="S1402" s="219">
        <f t="shared" si="121"/>
        <v>97.903563941299794</v>
      </c>
    </row>
    <row r="1403" spans="2:19" x14ac:dyDescent="0.2">
      <c r="B1403" s="168">
        <f t="shared" si="117"/>
        <v>38</v>
      </c>
      <c r="C1403" s="50"/>
      <c r="D1403" s="50"/>
      <c r="E1403" s="50"/>
      <c r="F1403" s="155"/>
      <c r="G1403" s="50">
        <v>712</v>
      </c>
      <c r="H1403" s="44" t="s">
        <v>504</v>
      </c>
      <c r="I1403" s="19"/>
      <c r="J1403" s="19"/>
      <c r="K1403" s="218"/>
      <c r="L1403" s="279"/>
      <c r="M1403" s="300">
        <v>19850</v>
      </c>
      <c r="N1403" s="19">
        <v>19700</v>
      </c>
      <c r="O1403" s="218">
        <f t="shared" si="119"/>
        <v>99.244332493702771</v>
      </c>
      <c r="P1403" s="279"/>
      <c r="Q1403" s="300">
        <f t="shared" si="120"/>
        <v>19850</v>
      </c>
      <c r="R1403" s="19">
        <f t="shared" si="120"/>
        <v>19700</v>
      </c>
      <c r="S1403" s="219">
        <f t="shared" si="121"/>
        <v>99.244332493702771</v>
      </c>
    </row>
    <row r="1404" spans="2:19" x14ac:dyDescent="0.2">
      <c r="B1404" s="168">
        <f t="shared" si="117"/>
        <v>39</v>
      </c>
      <c r="C1404" s="50"/>
      <c r="D1404" s="50"/>
      <c r="E1404" s="50"/>
      <c r="F1404" s="155"/>
      <c r="G1404" s="50">
        <v>716</v>
      </c>
      <c r="H1404" s="4" t="s">
        <v>447</v>
      </c>
      <c r="I1404" s="19"/>
      <c r="J1404" s="19"/>
      <c r="K1404" s="218"/>
      <c r="L1404" s="279"/>
      <c r="M1404" s="300">
        <f>4000</f>
        <v>4000</v>
      </c>
      <c r="N1404" s="19">
        <v>3650</v>
      </c>
      <c r="O1404" s="218">
        <f t="shared" si="119"/>
        <v>91.25</v>
      </c>
      <c r="P1404" s="279"/>
      <c r="Q1404" s="300">
        <f t="shared" si="120"/>
        <v>4000</v>
      </c>
      <c r="R1404" s="19">
        <f t="shared" si="120"/>
        <v>3650</v>
      </c>
      <c r="S1404" s="219">
        <f t="shared" si="121"/>
        <v>91.25</v>
      </c>
    </row>
    <row r="1405" spans="2:19" ht="15" x14ac:dyDescent="0.25">
      <c r="B1405" s="168">
        <f t="shared" si="117"/>
        <v>40</v>
      </c>
      <c r="C1405" s="429"/>
      <c r="D1405" s="429">
        <v>3</v>
      </c>
      <c r="E1405" s="493" t="s">
        <v>215</v>
      </c>
      <c r="F1405" s="494"/>
      <c r="G1405" s="494"/>
      <c r="H1405" s="495"/>
      <c r="I1405" s="36">
        <f>I1406+I1408+I1413</f>
        <v>468940</v>
      </c>
      <c r="J1405" s="36">
        <f>J1406+J1408+J1413</f>
        <v>397713</v>
      </c>
      <c r="K1405" s="218">
        <f t="shared" si="118"/>
        <v>84.811063249029729</v>
      </c>
      <c r="L1405" s="277"/>
      <c r="M1405" s="283">
        <f>M1408</f>
        <v>718090</v>
      </c>
      <c r="N1405" s="36">
        <f>N1408</f>
        <v>716918</v>
      </c>
      <c r="O1405" s="218">
        <f t="shared" si="119"/>
        <v>99.836789260399115</v>
      </c>
      <c r="P1405" s="277"/>
      <c r="Q1405" s="283">
        <f t="shared" ref="Q1405:R1440" si="122">I1405+M1405</f>
        <v>1187030</v>
      </c>
      <c r="R1405" s="36">
        <f t="shared" si="122"/>
        <v>1114631</v>
      </c>
      <c r="S1405" s="219">
        <f t="shared" si="121"/>
        <v>93.900828117233772</v>
      </c>
    </row>
    <row r="1406" spans="2:19" x14ac:dyDescent="0.2">
      <c r="B1406" s="168">
        <f t="shared" si="117"/>
        <v>41</v>
      </c>
      <c r="C1406" s="7"/>
      <c r="D1406" s="7"/>
      <c r="E1406" s="7"/>
      <c r="F1406" s="24" t="s">
        <v>193</v>
      </c>
      <c r="G1406" s="7">
        <v>630</v>
      </c>
      <c r="H1406" s="7" t="s">
        <v>133</v>
      </c>
      <c r="I1406" s="22">
        <f>I1407</f>
        <v>3340</v>
      </c>
      <c r="J1406" s="22">
        <f>J1407</f>
        <v>3340</v>
      </c>
      <c r="K1406" s="218">
        <f t="shared" si="118"/>
        <v>100</v>
      </c>
      <c r="L1406" s="278"/>
      <c r="M1406" s="284"/>
      <c r="N1406" s="22"/>
      <c r="O1406" s="218"/>
      <c r="P1406" s="278"/>
      <c r="Q1406" s="284">
        <f t="shared" si="122"/>
        <v>3340</v>
      </c>
      <c r="R1406" s="22">
        <f t="shared" si="122"/>
        <v>3340</v>
      </c>
      <c r="S1406" s="219">
        <f t="shared" si="121"/>
        <v>100</v>
      </c>
    </row>
    <row r="1407" spans="2:19" x14ac:dyDescent="0.2">
      <c r="B1407" s="168">
        <f t="shared" si="117"/>
        <v>42</v>
      </c>
      <c r="C1407" s="3"/>
      <c r="D1407" s="3"/>
      <c r="E1407" s="3"/>
      <c r="F1407" s="25" t="s">
        <v>193</v>
      </c>
      <c r="G1407" s="3">
        <v>637</v>
      </c>
      <c r="H1407" s="3" t="s">
        <v>134</v>
      </c>
      <c r="I1407" s="18">
        <v>3340</v>
      </c>
      <c r="J1407" s="18">
        <v>3340</v>
      </c>
      <c r="K1407" s="218">
        <f t="shared" si="118"/>
        <v>100</v>
      </c>
      <c r="L1407" s="279"/>
      <c r="M1407" s="285"/>
      <c r="N1407" s="18"/>
      <c r="O1407" s="218"/>
      <c r="P1407" s="279"/>
      <c r="Q1407" s="285">
        <f t="shared" si="122"/>
        <v>3340</v>
      </c>
      <c r="R1407" s="18">
        <f t="shared" si="122"/>
        <v>3340</v>
      </c>
      <c r="S1407" s="219">
        <f t="shared" si="121"/>
        <v>100</v>
      </c>
    </row>
    <row r="1408" spans="2:19" x14ac:dyDescent="0.2">
      <c r="B1408" s="168">
        <f t="shared" si="117"/>
        <v>43</v>
      </c>
      <c r="C1408" s="7"/>
      <c r="D1408" s="7"/>
      <c r="E1408" s="7"/>
      <c r="F1408" s="24" t="s">
        <v>193</v>
      </c>
      <c r="G1408" s="7">
        <v>710</v>
      </c>
      <c r="H1408" s="7" t="s">
        <v>188</v>
      </c>
      <c r="I1408" s="22"/>
      <c r="J1408" s="22"/>
      <c r="K1408" s="218"/>
      <c r="L1408" s="278"/>
      <c r="M1408" s="284">
        <f>M1409+M1411</f>
        <v>718090</v>
      </c>
      <c r="N1408" s="22">
        <f>N1409+N1411</f>
        <v>716918</v>
      </c>
      <c r="O1408" s="218">
        <f t="shared" si="119"/>
        <v>99.836789260399115</v>
      </c>
      <c r="P1408" s="278"/>
      <c r="Q1408" s="284">
        <f t="shared" si="122"/>
        <v>718090</v>
      </c>
      <c r="R1408" s="22">
        <f t="shared" si="122"/>
        <v>716918</v>
      </c>
      <c r="S1408" s="219">
        <f t="shared" si="121"/>
        <v>99.836789260399115</v>
      </c>
    </row>
    <row r="1409" spans="2:19" x14ac:dyDescent="0.2">
      <c r="B1409" s="168">
        <f t="shared" si="117"/>
        <v>44</v>
      </c>
      <c r="C1409" s="3"/>
      <c r="D1409" s="3"/>
      <c r="E1409" s="3"/>
      <c r="F1409" s="25" t="s">
        <v>193</v>
      </c>
      <c r="G1409" s="3">
        <v>716</v>
      </c>
      <c r="H1409" s="3" t="s">
        <v>231</v>
      </c>
      <c r="I1409" s="18"/>
      <c r="J1409" s="18"/>
      <c r="K1409" s="218"/>
      <c r="L1409" s="279"/>
      <c r="M1409" s="285">
        <f>SUM(M1410:M1410)</f>
        <v>23800</v>
      </c>
      <c r="N1409" s="18">
        <f>SUM(N1410:N1410)</f>
        <v>23760</v>
      </c>
      <c r="O1409" s="218">
        <f t="shared" si="119"/>
        <v>99.831932773109244</v>
      </c>
      <c r="P1409" s="279"/>
      <c r="Q1409" s="285">
        <f t="shared" si="122"/>
        <v>23800</v>
      </c>
      <c r="R1409" s="18">
        <f t="shared" si="122"/>
        <v>23760</v>
      </c>
      <c r="S1409" s="219">
        <f t="shared" si="121"/>
        <v>99.831932773109244</v>
      </c>
    </row>
    <row r="1410" spans="2:19" x14ac:dyDescent="0.2">
      <c r="B1410" s="168">
        <f t="shared" si="117"/>
        <v>45</v>
      </c>
      <c r="C1410" s="4"/>
      <c r="D1410" s="4"/>
      <c r="E1410" s="4"/>
      <c r="F1410" s="26"/>
      <c r="G1410" s="4"/>
      <c r="H1410" s="4" t="s">
        <v>337</v>
      </c>
      <c r="I1410" s="20"/>
      <c r="J1410" s="20"/>
      <c r="K1410" s="218"/>
      <c r="L1410" s="280"/>
      <c r="M1410" s="286">
        <f>25000-1200</f>
        <v>23800</v>
      </c>
      <c r="N1410" s="20">
        <v>23760</v>
      </c>
      <c r="O1410" s="218">
        <f t="shared" si="119"/>
        <v>99.831932773109244</v>
      </c>
      <c r="P1410" s="280"/>
      <c r="Q1410" s="286">
        <f t="shared" si="122"/>
        <v>23800</v>
      </c>
      <c r="R1410" s="20">
        <f t="shared" si="122"/>
        <v>23760</v>
      </c>
      <c r="S1410" s="219">
        <f t="shared" si="121"/>
        <v>99.831932773109244</v>
      </c>
    </row>
    <row r="1411" spans="2:19" x14ac:dyDescent="0.2">
      <c r="B1411" s="168">
        <f t="shared" si="117"/>
        <v>46</v>
      </c>
      <c r="C1411" s="4"/>
      <c r="D1411" s="4"/>
      <c r="E1411" s="4"/>
      <c r="F1411" s="25" t="s">
        <v>193</v>
      </c>
      <c r="G1411" s="3">
        <v>717</v>
      </c>
      <c r="H1411" s="3" t="s">
        <v>198</v>
      </c>
      <c r="I1411" s="20"/>
      <c r="J1411" s="20"/>
      <c r="K1411" s="218"/>
      <c r="L1411" s="280"/>
      <c r="M1411" s="285">
        <f>SUM(M1412:M1412)</f>
        <v>694290</v>
      </c>
      <c r="N1411" s="18">
        <f>SUM(N1412:N1412)</f>
        <v>693158</v>
      </c>
      <c r="O1411" s="218">
        <f t="shared" si="119"/>
        <v>99.836955738956348</v>
      </c>
      <c r="P1411" s="279"/>
      <c r="Q1411" s="285">
        <f t="shared" si="122"/>
        <v>694290</v>
      </c>
      <c r="R1411" s="18">
        <f t="shared" si="122"/>
        <v>693158</v>
      </c>
      <c r="S1411" s="219">
        <f t="shared" si="121"/>
        <v>99.836955738956348</v>
      </c>
    </row>
    <row r="1412" spans="2:19" x14ac:dyDescent="0.2">
      <c r="B1412" s="168">
        <f t="shared" si="117"/>
        <v>47</v>
      </c>
      <c r="C1412" s="4"/>
      <c r="D1412" s="4"/>
      <c r="E1412" s="4"/>
      <c r="F1412" s="26"/>
      <c r="G1412" s="4"/>
      <c r="H1412" s="4" t="s">
        <v>578</v>
      </c>
      <c r="I1412" s="20"/>
      <c r="J1412" s="20"/>
      <c r="K1412" s="218"/>
      <c r="L1412" s="280"/>
      <c r="M1412" s="286">
        <f>666790+27500</f>
        <v>694290</v>
      </c>
      <c r="N1412" s="20">
        <v>693158</v>
      </c>
      <c r="O1412" s="218">
        <f t="shared" si="119"/>
        <v>99.836955738956348</v>
      </c>
      <c r="P1412" s="280"/>
      <c r="Q1412" s="286">
        <f t="shared" si="122"/>
        <v>694290</v>
      </c>
      <c r="R1412" s="20">
        <f t="shared" si="122"/>
        <v>693158</v>
      </c>
      <c r="S1412" s="219">
        <f t="shared" si="121"/>
        <v>99.836955738956348</v>
      </c>
    </row>
    <row r="1413" spans="2:19" ht="15" x14ac:dyDescent="0.25">
      <c r="B1413" s="168">
        <f t="shared" si="117"/>
        <v>48</v>
      </c>
      <c r="C1413" s="10"/>
      <c r="D1413" s="10"/>
      <c r="E1413" s="10">
        <v>2</v>
      </c>
      <c r="F1413" s="27"/>
      <c r="G1413" s="10"/>
      <c r="H1413" s="10" t="s">
        <v>18</v>
      </c>
      <c r="I1413" s="37">
        <f>I1414+I1415+I1416+I1422</f>
        <v>465600</v>
      </c>
      <c r="J1413" s="37">
        <f>J1414+J1415+J1416+J1422</f>
        <v>394373</v>
      </c>
      <c r="K1413" s="218">
        <f t="shared" si="118"/>
        <v>84.702104810996559</v>
      </c>
      <c r="L1413" s="295"/>
      <c r="M1413" s="299"/>
      <c r="N1413" s="37"/>
      <c r="O1413" s="218"/>
      <c r="P1413" s="295"/>
      <c r="Q1413" s="299">
        <f t="shared" si="122"/>
        <v>465600</v>
      </c>
      <c r="R1413" s="37">
        <f t="shared" si="122"/>
        <v>394373</v>
      </c>
      <c r="S1413" s="219">
        <f t="shared" si="121"/>
        <v>84.702104810996559</v>
      </c>
    </row>
    <row r="1414" spans="2:19" x14ac:dyDescent="0.2">
      <c r="B1414" s="168">
        <f t="shared" si="117"/>
        <v>49</v>
      </c>
      <c r="C1414" s="7"/>
      <c r="D1414" s="7"/>
      <c r="E1414" s="7"/>
      <c r="F1414" s="24" t="s">
        <v>193</v>
      </c>
      <c r="G1414" s="7">
        <v>610</v>
      </c>
      <c r="H1414" s="7" t="s">
        <v>143</v>
      </c>
      <c r="I1414" s="22">
        <f>123010-18010</f>
        <v>105000</v>
      </c>
      <c r="J1414" s="22">
        <v>99922</v>
      </c>
      <c r="K1414" s="218">
        <f t="shared" si="118"/>
        <v>95.163809523809533</v>
      </c>
      <c r="L1414" s="278"/>
      <c r="M1414" s="284"/>
      <c r="N1414" s="22"/>
      <c r="O1414" s="218"/>
      <c r="P1414" s="278"/>
      <c r="Q1414" s="284">
        <f t="shared" si="122"/>
        <v>105000</v>
      </c>
      <c r="R1414" s="22">
        <f t="shared" si="122"/>
        <v>99922</v>
      </c>
      <c r="S1414" s="219">
        <f t="shared" si="121"/>
        <v>95.163809523809533</v>
      </c>
    </row>
    <row r="1415" spans="2:19" x14ac:dyDescent="0.2">
      <c r="B1415" s="168">
        <f t="shared" si="117"/>
        <v>50</v>
      </c>
      <c r="C1415" s="7"/>
      <c r="D1415" s="7"/>
      <c r="E1415" s="7"/>
      <c r="F1415" s="24" t="s">
        <v>193</v>
      </c>
      <c r="G1415" s="7">
        <v>620</v>
      </c>
      <c r="H1415" s="7" t="s">
        <v>136</v>
      </c>
      <c r="I1415" s="22">
        <f>43900-3900</f>
        <v>40000</v>
      </c>
      <c r="J1415" s="22">
        <v>36557</v>
      </c>
      <c r="K1415" s="218">
        <f t="shared" si="118"/>
        <v>91.392499999999998</v>
      </c>
      <c r="L1415" s="278"/>
      <c r="M1415" s="284"/>
      <c r="N1415" s="22"/>
      <c r="O1415" s="218"/>
      <c r="P1415" s="278"/>
      <c r="Q1415" s="284">
        <f t="shared" si="122"/>
        <v>40000</v>
      </c>
      <c r="R1415" s="22">
        <f t="shared" si="122"/>
        <v>36557</v>
      </c>
      <c r="S1415" s="219">
        <f t="shared" si="121"/>
        <v>91.392499999999998</v>
      </c>
    </row>
    <row r="1416" spans="2:19" x14ac:dyDescent="0.2">
      <c r="B1416" s="168">
        <f t="shared" si="117"/>
        <v>51</v>
      </c>
      <c r="C1416" s="7"/>
      <c r="D1416" s="7"/>
      <c r="E1416" s="7"/>
      <c r="F1416" s="24" t="s">
        <v>193</v>
      </c>
      <c r="G1416" s="7">
        <v>630</v>
      </c>
      <c r="H1416" s="7" t="s">
        <v>133</v>
      </c>
      <c r="I1416" s="22">
        <f>SUM(I1417:I1421)</f>
        <v>312000</v>
      </c>
      <c r="J1416" s="22">
        <f>SUM(J1417:J1421)</f>
        <v>249762</v>
      </c>
      <c r="K1416" s="218">
        <f t="shared" si="118"/>
        <v>80.051923076923089</v>
      </c>
      <c r="L1416" s="278"/>
      <c r="M1416" s="284"/>
      <c r="N1416" s="22"/>
      <c r="O1416" s="218"/>
      <c r="P1416" s="278"/>
      <c r="Q1416" s="284">
        <f t="shared" si="122"/>
        <v>312000</v>
      </c>
      <c r="R1416" s="22">
        <f t="shared" si="122"/>
        <v>249762</v>
      </c>
      <c r="S1416" s="219">
        <f t="shared" si="121"/>
        <v>80.051923076923089</v>
      </c>
    </row>
    <row r="1417" spans="2:19" x14ac:dyDescent="0.2">
      <c r="B1417" s="168">
        <f t="shared" si="117"/>
        <v>52</v>
      </c>
      <c r="C1417" s="3"/>
      <c r="D1417" s="3"/>
      <c r="E1417" s="3"/>
      <c r="F1417" s="25" t="s">
        <v>193</v>
      </c>
      <c r="G1417" s="3">
        <v>632</v>
      </c>
      <c r="H1417" s="3" t="s">
        <v>146</v>
      </c>
      <c r="I1417" s="18">
        <v>213000</v>
      </c>
      <c r="J1417" s="18">
        <v>170546</v>
      </c>
      <c r="K1417" s="218">
        <f t="shared" si="118"/>
        <v>80.068544600938964</v>
      </c>
      <c r="L1417" s="279"/>
      <c r="M1417" s="285"/>
      <c r="N1417" s="18"/>
      <c r="O1417" s="218"/>
      <c r="P1417" s="279"/>
      <c r="Q1417" s="285">
        <f t="shared" si="122"/>
        <v>213000</v>
      </c>
      <c r="R1417" s="18">
        <f t="shared" si="122"/>
        <v>170546</v>
      </c>
      <c r="S1417" s="219">
        <f t="shared" si="121"/>
        <v>80.068544600938964</v>
      </c>
    </row>
    <row r="1418" spans="2:19" x14ac:dyDescent="0.2">
      <c r="B1418" s="168">
        <f t="shared" si="117"/>
        <v>53</v>
      </c>
      <c r="C1418" s="3"/>
      <c r="D1418" s="3"/>
      <c r="E1418" s="3"/>
      <c r="F1418" s="25" t="s">
        <v>193</v>
      </c>
      <c r="G1418" s="3">
        <v>633</v>
      </c>
      <c r="H1418" s="3" t="s">
        <v>137</v>
      </c>
      <c r="I1418" s="18">
        <f>15700+4500</f>
        <v>20200</v>
      </c>
      <c r="J1418" s="18">
        <v>16224</v>
      </c>
      <c r="K1418" s="218">
        <f t="shared" si="118"/>
        <v>80.316831683168317</v>
      </c>
      <c r="L1418" s="279"/>
      <c r="M1418" s="285"/>
      <c r="N1418" s="18"/>
      <c r="O1418" s="218"/>
      <c r="P1418" s="279"/>
      <c r="Q1418" s="285">
        <f t="shared" si="122"/>
        <v>20200</v>
      </c>
      <c r="R1418" s="18">
        <f t="shared" si="122"/>
        <v>16224</v>
      </c>
      <c r="S1418" s="219">
        <f t="shared" si="121"/>
        <v>80.316831683168317</v>
      </c>
    </row>
    <row r="1419" spans="2:19" x14ac:dyDescent="0.2">
      <c r="B1419" s="168">
        <f t="shared" si="117"/>
        <v>54</v>
      </c>
      <c r="C1419" s="3"/>
      <c r="D1419" s="3"/>
      <c r="E1419" s="3"/>
      <c r="F1419" s="25" t="s">
        <v>193</v>
      </c>
      <c r="G1419" s="3">
        <v>635</v>
      </c>
      <c r="H1419" s="3" t="s">
        <v>145</v>
      </c>
      <c r="I1419" s="18">
        <f>11000+4600+7000+5100</f>
        <v>27700</v>
      </c>
      <c r="J1419" s="18">
        <v>22143</v>
      </c>
      <c r="K1419" s="218">
        <f t="shared" si="118"/>
        <v>79.938628158844764</v>
      </c>
      <c r="L1419" s="279"/>
      <c r="M1419" s="285"/>
      <c r="N1419" s="18"/>
      <c r="O1419" s="218"/>
      <c r="P1419" s="279"/>
      <c r="Q1419" s="285">
        <f t="shared" si="122"/>
        <v>27700</v>
      </c>
      <c r="R1419" s="18">
        <f t="shared" si="122"/>
        <v>22143</v>
      </c>
      <c r="S1419" s="219">
        <f t="shared" si="121"/>
        <v>79.938628158844764</v>
      </c>
    </row>
    <row r="1420" spans="2:19" x14ac:dyDescent="0.2">
      <c r="B1420" s="168">
        <f t="shared" si="117"/>
        <v>55</v>
      </c>
      <c r="C1420" s="3"/>
      <c r="D1420" s="3"/>
      <c r="E1420" s="3"/>
      <c r="F1420" s="25" t="s">
        <v>193</v>
      </c>
      <c r="G1420" s="3">
        <v>636</v>
      </c>
      <c r="H1420" s="3" t="s">
        <v>138</v>
      </c>
      <c r="I1420" s="18">
        <f>200+1000</f>
        <v>1200</v>
      </c>
      <c r="J1420" s="18">
        <v>1188</v>
      </c>
      <c r="K1420" s="218">
        <f t="shared" si="118"/>
        <v>99</v>
      </c>
      <c r="L1420" s="279"/>
      <c r="M1420" s="285"/>
      <c r="N1420" s="18"/>
      <c r="O1420" s="218"/>
      <c r="P1420" s="279"/>
      <c r="Q1420" s="285">
        <f t="shared" si="122"/>
        <v>1200</v>
      </c>
      <c r="R1420" s="18">
        <f t="shared" si="122"/>
        <v>1188</v>
      </c>
      <c r="S1420" s="219">
        <f t="shared" si="121"/>
        <v>99</v>
      </c>
    </row>
    <row r="1421" spans="2:19" x14ac:dyDescent="0.2">
      <c r="B1421" s="168">
        <f t="shared" si="117"/>
        <v>56</v>
      </c>
      <c r="C1421" s="3"/>
      <c r="D1421" s="3"/>
      <c r="E1421" s="3"/>
      <c r="F1421" s="25" t="s">
        <v>193</v>
      </c>
      <c r="G1421" s="3">
        <v>637</v>
      </c>
      <c r="H1421" s="3" t="s">
        <v>134</v>
      </c>
      <c r="I1421" s="18">
        <f>42800+1300+5800</f>
        <v>49900</v>
      </c>
      <c r="J1421" s="18">
        <v>39661</v>
      </c>
      <c r="K1421" s="218">
        <f t="shared" si="118"/>
        <v>79.480961923847687</v>
      </c>
      <c r="L1421" s="279"/>
      <c r="M1421" s="285"/>
      <c r="N1421" s="18"/>
      <c r="O1421" s="218"/>
      <c r="P1421" s="279"/>
      <c r="Q1421" s="285">
        <f t="shared" si="122"/>
        <v>49900</v>
      </c>
      <c r="R1421" s="18">
        <f t="shared" si="122"/>
        <v>39661</v>
      </c>
      <c r="S1421" s="219">
        <f t="shared" si="121"/>
        <v>79.480961923847687</v>
      </c>
    </row>
    <row r="1422" spans="2:19" x14ac:dyDescent="0.2">
      <c r="B1422" s="168">
        <f t="shared" si="117"/>
        <v>57</v>
      </c>
      <c r="C1422" s="7"/>
      <c r="D1422" s="7"/>
      <c r="E1422" s="7"/>
      <c r="F1422" s="24" t="s">
        <v>193</v>
      </c>
      <c r="G1422" s="7">
        <v>640</v>
      </c>
      <c r="H1422" s="7" t="s">
        <v>141</v>
      </c>
      <c r="I1422" s="22">
        <f>1550+7050</f>
        <v>8600</v>
      </c>
      <c r="J1422" s="22">
        <v>8132</v>
      </c>
      <c r="K1422" s="218">
        <f t="shared" si="118"/>
        <v>94.558139534883722</v>
      </c>
      <c r="L1422" s="278"/>
      <c r="M1422" s="284"/>
      <c r="N1422" s="22"/>
      <c r="O1422" s="218"/>
      <c r="P1422" s="278"/>
      <c r="Q1422" s="284">
        <f t="shared" si="122"/>
        <v>8600</v>
      </c>
      <c r="R1422" s="22">
        <f t="shared" si="122"/>
        <v>8132</v>
      </c>
      <c r="S1422" s="219">
        <f t="shared" si="121"/>
        <v>94.558139534883722</v>
      </c>
    </row>
    <row r="1423" spans="2:19" ht="15" x14ac:dyDescent="0.25">
      <c r="B1423" s="168">
        <f t="shared" si="117"/>
        <v>58</v>
      </c>
      <c r="C1423" s="429"/>
      <c r="D1423" s="429">
        <v>4</v>
      </c>
      <c r="E1423" s="493" t="s">
        <v>216</v>
      </c>
      <c r="F1423" s="494"/>
      <c r="G1423" s="494"/>
      <c r="H1423" s="495"/>
      <c r="I1423" s="36">
        <f>I1424+I1430</f>
        <v>617500</v>
      </c>
      <c r="J1423" s="36">
        <f>J1424+J1430</f>
        <v>537832</v>
      </c>
      <c r="K1423" s="218">
        <f t="shared" si="118"/>
        <v>87.098299595141697</v>
      </c>
      <c r="L1423" s="277"/>
      <c r="M1423" s="283">
        <f>M1424+M1430</f>
        <v>621592</v>
      </c>
      <c r="N1423" s="36">
        <f>N1424+N1430</f>
        <v>619981</v>
      </c>
      <c r="O1423" s="218">
        <f t="shared" si="119"/>
        <v>99.74082678026744</v>
      </c>
      <c r="P1423" s="277"/>
      <c r="Q1423" s="283">
        <f t="shared" si="122"/>
        <v>1239092</v>
      </c>
      <c r="R1423" s="36">
        <f t="shared" si="122"/>
        <v>1157813</v>
      </c>
      <c r="S1423" s="219">
        <f t="shared" si="121"/>
        <v>93.440438643781093</v>
      </c>
    </row>
    <row r="1424" spans="2:19" x14ac:dyDescent="0.2">
      <c r="B1424" s="168">
        <f t="shared" si="117"/>
        <v>59</v>
      </c>
      <c r="C1424" s="7"/>
      <c r="D1424" s="7"/>
      <c r="E1424" s="7"/>
      <c r="F1424" s="24" t="s">
        <v>193</v>
      </c>
      <c r="G1424" s="7">
        <v>710</v>
      </c>
      <c r="H1424" s="7" t="s">
        <v>188</v>
      </c>
      <c r="I1424" s="22"/>
      <c r="J1424" s="22"/>
      <c r="K1424" s="218"/>
      <c r="L1424" s="278"/>
      <c r="M1424" s="284">
        <f>M1425+M1427</f>
        <v>606792</v>
      </c>
      <c r="N1424" s="22">
        <f>N1425+N1427</f>
        <v>605205</v>
      </c>
      <c r="O1424" s="218">
        <f t="shared" si="119"/>
        <v>99.738460625716883</v>
      </c>
      <c r="P1424" s="278"/>
      <c r="Q1424" s="284">
        <f t="shared" si="122"/>
        <v>606792</v>
      </c>
      <c r="R1424" s="22">
        <f t="shared" si="122"/>
        <v>605205</v>
      </c>
      <c r="S1424" s="219">
        <f t="shared" si="121"/>
        <v>99.738460625716883</v>
      </c>
    </row>
    <row r="1425" spans="2:19" x14ac:dyDescent="0.2">
      <c r="B1425" s="168">
        <f t="shared" si="117"/>
        <v>60</v>
      </c>
      <c r="C1425" s="7"/>
      <c r="D1425" s="7"/>
      <c r="E1425" s="7"/>
      <c r="F1425" s="25" t="s">
        <v>193</v>
      </c>
      <c r="G1425" s="3">
        <v>716</v>
      </c>
      <c r="H1425" s="3" t="s">
        <v>231</v>
      </c>
      <c r="I1425" s="18"/>
      <c r="J1425" s="18"/>
      <c r="K1425" s="218"/>
      <c r="L1425" s="279"/>
      <c r="M1425" s="285">
        <f>M1426</f>
        <v>17000</v>
      </c>
      <c r="N1425" s="18">
        <f>N1426</f>
        <v>15610</v>
      </c>
      <c r="O1425" s="218">
        <f t="shared" si="119"/>
        <v>91.82352941176471</v>
      </c>
      <c r="P1425" s="279"/>
      <c r="Q1425" s="285">
        <f t="shared" si="122"/>
        <v>17000</v>
      </c>
      <c r="R1425" s="18">
        <f t="shared" si="122"/>
        <v>15610</v>
      </c>
      <c r="S1425" s="219">
        <f t="shared" si="121"/>
        <v>91.82352941176471</v>
      </c>
    </row>
    <row r="1426" spans="2:19" x14ac:dyDescent="0.2">
      <c r="B1426" s="168">
        <f t="shared" si="117"/>
        <v>61</v>
      </c>
      <c r="C1426" s="7"/>
      <c r="D1426" s="7"/>
      <c r="E1426" s="7"/>
      <c r="F1426" s="26"/>
      <c r="G1426" s="4"/>
      <c r="H1426" s="4" t="s">
        <v>511</v>
      </c>
      <c r="I1426" s="20"/>
      <c r="J1426" s="20"/>
      <c r="K1426" s="218"/>
      <c r="L1426" s="280"/>
      <c r="M1426" s="341">
        <v>17000</v>
      </c>
      <c r="N1426" s="38">
        <v>15610</v>
      </c>
      <c r="O1426" s="218">
        <f t="shared" si="119"/>
        <v>91.82352941176471</v>
      </c>
      <c r="P1426" s="280"/>
      <c r="Q1426" s="286">
        <f t="shared" si="122"/>
        <v>17000</v>
      </c>
      <c r="R1426" s="20">
        <f t="shared" si="122"/>
        <v>15610</v>
      </c>
      <c r="S1426" s="219">
        <f t="shared" si="121"/>
        <v>91.82352941176471</v>
      </c>
    </row>
    <row r="1427" spans="2:19" x14ac:dyDescent="0.2">
      <c r="B1427" s="168">
        <f t="shared" si="117"/>
        <v>62</v>
      </c>
      <c r="C1427" s="3"/>
      <c r="D1427" s="3"/>
      <c r="E1427" s="3"/>
      <c r="F1427" s="25" t="s">
        <v>193</v>
      </c>
      <c r="G1427" s="3">
        <v>717</v>
      </c>
      <c r="H1427" s="3" t="s">
        <v>198</v>
      </c>
      <c r="I1427" s="18"/>
      <c r="J1427" s="18"/>
      <c r="K1427" s="218"/>
      <c r="L1427" s="279"/>
      <c r="M1427" s="285">
        <f>SUM(M1428:M1429)</f>
        <v>589792</v>
      </c>
      <c r="N1427" s="18">
        <f>SUM(N1428:N1429)</f>
        <v>589595</v>
      </c>
      <c r="O1427" s="218">
        <f t="shared" si="119"/>
        <v>99.966598394010092</v>
      </c>
      <c r="P1427" s="279"/>
      <c r="Q1427" s="285">
        <f t="shared" si="122"/>
        <v>589792</v>
      </c>
      <c r="R1427" s="18">
        <f t="shared" si="122"/>
        <v>589595</v>
      </c>
      <c r="S1427" s="219">
        <f t="shared" si="121"/>
        <v>99.966598394010092</v>
      </c>
    </row>
    <row r="1428" spans="2:19" x14ac:dyDescent="0.2">
      <c r="B1428" s="168">
        <f t="shared" si="117"/>
        <v>63</v>
      </c>
      <c r="C1428" s="4"/>
      <c r="D1428" s="4"/>
      <c r="E1428" s="4"/>
      <c r="F1428" s="26"/>
      <c r="G1428" s="4"/>
      <c r="H1428" s="4" t="s">
        <v>4</v>
      </c>
      <c r="I1428" s="20"/>
      <c r="J1428" s="20"/>
      <c r="K1428" s="218"/>
      <c r="L1428" s="280"/>
      <c r="M1428" s="341">
        <f>540255+4537</f>
        <v>544792</v>
      </c>
      <c r="N1428" s="38">
        <f>540255+4537</f>
        <v>544792</v>
      </c>
      <c r="O1428" s="218">
        <f t="shared" si="119"/>
        <v>100</v>
      </c>
      <c r="P1428" s="280"/>
      <c r="Q1428" s="286">
        <f t="shared" si="122"/>
        <v>544792</v>
      </c>
      <c r="R1428" s="20">
        <f t="shared" si="122"/>
        <v>544792</v>
      </c>
      <c r="S1428" s="219">
        <f t="shared" si="121"/>
        <v>100</v>
      </c>
    </row>
    <row r="1429" spans="2:19" x14ac:dyDescent="0.2">
      <c r="B1429" s="168">
        <f t="shared" si="117"/>
        <v>64</v>
      </c>
      <c r="C1429" s="4"/>
      <c r="D1429" s="4"/>
      <c r="E1429" s="4"/>
      <c r="F1429" s="26"/>
      <c r="G1429" s="4"/>
      <c r="H1429" s="4" t="s">
        <v>425</v>
      </c>
      <c r="I1429" s="20"/>
      <c r="J1429" s="20"/>
      <c r="K1429" s="218"/>
      <c r="L1429" s="280"/>
      <c r="M1429" s="341">
        <f>100000-50000-5000</f>
        <v>45000</v>
      </c>
      <c r="N1429" s="38">
        <f>25500+19303</f>
        <v>44803</v>
      </c>
      <c r="O1429" s="218">
        <f t="shared" si="119"/>
        <v>99.562222222222218</v>
      </c>
      <c r="P1429" s="280"/>
      <c r="Q1429" s="286">
        <f t="shared" si="122"/>
        <v>45000</v>
      </c>
      <c r="R1429" s="20">
        <f t="shared" si="122"/>
        <v>44803</v>
      </c>
      <c r="S1429" s="219">
        <f t="shared" si="121"/>
        <v>99.562222222222218</v>
      </c>
    </row>
    <row r="1430" spans="2:19" ht="15" x14ac:dyDescent="0.25">
      <c r="B1430" s="168">
        <f t="shared" ref="B1430:B1486" si="123">B1429+1</f>
        <v>65</v>
      </c>
      <c r="C1430" s="10"/>
      <c r="D1430" s="10"/>
      <c r="E1430" s="10">
        <v>2</v>
      </c>
      <c r="F1430" s="27"/>
      <c r="G1430" s="10"/>
      <c r="H1430" s="10" t="s">
        <v>401</v>
      </c>
      <c r="I1430" s="37">
        <f>I1431+I1432+I1433+I1438+I1439</f>
        <v>617500</v>
      </c>
      <c r="J1430" s="37">
        <f>J1431+J1432+J1433+J1438+J1439</f>
        <v>537832</v>
      </c>
      <c r="K1430" s="218">
        <f t="shared" ref="K1430:K1484" si="124">J1430/I1430*100</f>
        <v>87.098299595141697</v>
      </c>
      <c r="L1430" s="295"/>
      <c r="M1430" s="299">
        <f>M1439</f>
        <v>14800</v>
      </c>
      <c r="N1430" s="37">
        <f>N1439</f>
        <v>14776</v>
      </c>
      <c r="O1430" s="218">
        <f t="shared" ref="O1430:O1487" si="125">N1430/M1430*100</f>
        <v>99.837837837837839</v>
      </c>
      <c r="P1430" s="295"/>
      <c r="Q1430" s="299">
        <f t="shared" si="122"/>
        <v>632300</v>
      </c>
      <c r="R1430" s="37">
        <f t="shared" si="122"/>
        <v>552608</v>
      </c>
      <c r="S1430" s="219">
        <f t="shared" ref="S1430:S1487" si="126">R1430/Q1430*100</f>
        <v>87.39648900838209</v>
      </c>
    </row>
    <row r="1431" spans="2:19" x14ac:dyDescent="0.2">
      <c r="B1431" s="168">
        <f t="shared" si="123"/>
        <v>66</v>
      </c>
      <c r="C1431" s="7"/>
      <c r="D1431" s="7"/>
      <c r="E1431" s="7"/>
      <c r="F1431" s="24" t="s">
        <v>193</v>
      </c>
      <c r="G1431" s="7">
        <v>610</v>
      </c>
      <c r="H1431" s="7" t="s">
        <v>143</v>
      </c>
      <c r="I1431" s="22">
        <v>142300</v>
      </c>
      <c r="J1431" s="22">
        <v>135159</v>
      </c>
      <c r="K1431" s="218">
        <f t="shared" si="124"/>
        <v>94.981728742094162</v>
      </c>
      <c r="L1431" s="278"/>
      <c r="M1431" s="284"/>
      <c r="N1431" s="22"/>
      <c r="O1431" s="218"/>
      <c r="P1431" s="278"/>
      <c r="Q1431" s="284">
        <f t="shared" si="122"/>
        <v>142300</v>
      </c>
      <c r="R1431" s="22">
        <f t="shared" si="122"/>
        <v>135159</v>
      </c>
      <c r="S1431" s="219">
        <f t="shared" si="126"/>
        <v>94.981728742094162</v>
      </c>
    </row>
    <row r="1432" spans="2:19" x14ac:dyDescent="0.2">
      <c r="B1432" s="168">
        <f t="shared" si="123"/>
        <v>67</v>
      </c>
      <c r="C1432" s="7"/>
      <c r="D1432" s="7"/>
      <c r="E1432" s="7"/>
      <c r="F1432" s="24" t="s">
        <v>193</v>
      </c>
      <c r="G1432" s="7">
        <v>620</v>
      </c>
      <c r="H1432" s="7" t="s">
        <v>136</v>
      </c>
      <c r="I1432" s="22">
        <v>68690</v>
      </c>
      <c r="J1432" s="22">
        <f>47313+10140</f>
        <v>57453</v>
      </c>
      <c r="K1432" s="218">
        <f t="shared" si="124"/>
        <v>83.640995778133643</v>
      </c>
      <c r="L1432" s="278"/>
      <c r="M1432" s="284"/>
      <c r="N1432" s="22"/>
      <c r="O1432" s="218"/>
      <c r="P1432" s="278"/>
      <c r="Q1432" s="284">
        <f t="shared" si="122"/>
        <v>68690</v>
      </c>
      <c r="R1432" s="22">
        <f t="shared" si="122"/>
        <v>57453</v>
      </c>
      <c r="S1432" s="219">
        <f t="shared" si="126"/>
        <v>83.640995778133643</v>
      </c>
    </row>
    <row r="1433" spans="2:19" x14ac:dyDescent="0.2">
      <c r="B1433" s="168">
        <f t="shared" si="123"/>
        <v>68</v>
      </c>
      <c r="C1433" s="7"/>
      <c r="D1433" s="7"/>
      <c r="E1433" s="7"/>
      <c r="F1433" s="24" t="s">
        <v>193</v>
      </c>
      <c r="G1433" s="7">
        <v>630</v>
      </c>
      <c r="H1433" s="7" t="s">
        <v>133</v>
      </c>
      <c r="I1433" s="22">
        <f>SUM(I1434:I1437)</f>
        <v>406160</v>
      </c>
      <c r="J1433" s="22">
        <f>SUM(J1434:J1437)</f>
        <v>344993</v>
      </c>
      <c r="K1433" s="218">
        <f t="shared" si="124"/>
        <v>84.940171361039987</v>
      </c>
      <c r="L1433" s="278"/>
      <c r="M1433" s="284"/>
      <c r="N1433" s="22"/>
      <c r="O1433" s="218"/>
      <c r="P1433" s="278"/>
      <c r="Q1433" s="284">
        <f t="shared" si="122"/>
        <v>406160</v>
      </c>
      <c r="R1433" s="22">
        <f t="shared" si="122"/>
        <v>344993</v>
      </c>
      <c r="S1433" s="219">
        <f t="shared" si="126"/>
        <v>84.940171361039987</v>
      </c>
    </row>
    <row r="1434" spans="2:19" x14ac:dyDescent="0.2">
      <c r="B1434" s="168">
        <f t="shared" si="123"/>
        <v>69</v>
      </c>
      <c r="C1434" s="3"/>
      <c r="D1434" s="3"/>
      <c r="E1434" s="3"/>
      <c r="F1434" s="25" t="s">
        <v>193</v>
      </c>
      <c r="G1434" s="3">
        <v>632</v>
      </c>
      <c r="H1434" s="3" t="s">
        <v>146</v>
      </c>
      <c r="I1434" s="18">
        <v>243000</v>
      </c>
      <c r="J1434" s="18">
        <f>140023+72913</f>
        <v>212936</v>
      </c>
      <c r="K1434" s="218">
        <f t="shared" si="124"/>
        <v>87.627983539094643</v>
      </c>
      <c r="L1434" s="279"/>
      <c r="M1434" s="285"/>
      <c r="N1434" s="18"/>
      <c r="O1434" s="218"/>
      <c r="P1434" s="279"/>
      <c r="Q1434" s="285">
        <f t="shared" si="122"/>
        <v>243000</v>
      </c>
      <c r="R1434" s="18">
        <f t="shared" si="122"/>
        <v>212936</v>
      </c>
      <c r="S1434" s="219">
        <f t="shared" si="126"/>
        <v>87.627983539094643</v>
      </c>
    </row>
    <row r="1435" spans="2:19" x14ac:dyDescent="0.2">
      <c r="B1435" s="168">
        <f t="shared" si="123"/>
        <v>70</v>
      </c>
      <c r="C1435" s="3"/>
      <c r="D1435" s="3"/>
      <c r="E1435" s="3"/>
      <c r="F1435" s="25" t="s">
        <v>193</v>
      </c>
      <c r="G1435" s="3">
        <v>633</v>
      </c>
      <c r="H1435" s="3" t="s">
        <v>137</v>
      </c>
      <c r="I1435" s="18">
        <v>54750</v>
      </c>
      <c r="J1435" s="18">
        <f>17539+30338</f>
        <v>47877</v>
      </c>
      <c r="K1435" s="218">
        <f t="shared" si="124"/>
        <v>87.446575342465749</v>
      </c>
      <c r="L1435" s="279"/>
      <c r="M1435" s="285"/>
      <c r="N1435" s="18"/>
      <c r="O1435" s="218"/>
      <c r="P1435" s="279"/>
      <c r="Q1435" s="285">
        <f t="shared" si="122"/>
        <v>54750</v>
      </c>
      <c r="R1435" s="18">
        <f t="shared" si="122"/>
        <v>47877</v>
      </c>
      <c r="S1435" s="219">
        <f t="shared" si="126"/>
        <v>87.446575342465749</v>
      </c>
    </row>
    <row r="1436" spans="2:19" x14ac:dyDescent="0.2">
      <c r="B1436" s="168">
        <f t="shared" si="123"/>
        <v>71</v>
      </c>
      <c r="C1436" s="3"/>
      <c r="D1436" s="3"/>
      <c r="E1436" s="3"/>
      <c r="F1436" s="25" t="s">
        <v>193</v>
      </c>
      <c r="G1436" s="3">
        <v>635</v>
      </c>
      <c r="H1436" s="3" t="s">
        <v>145</v>
      </c>
      <c r="I1436" s="18">
        <f>28000+5100</f>
        <v>33100</v>
      </c>
      <c r="J1436" s="18">
        <f>22096+8676</f>
        <v>30772</v>
      </c>
      <c r="K1436" s="218">
        <f t="shared" si="124"/>
        <v>92.966767371601208</v>
      </c>
      <c r="L1436" s="279"/>
      <c r="M1436" s="285"/>
      <c r="N1436" s="18"/>
      <c r="O1436" s="218"/>
      <c r="P1436" s="279"/>
      <c r="Q1436" s="285">
        <f t="shared" si="122"/>
        <v>33100</v>
      </c>
      <c r="R1436" s="18">
        <f t="shared" si="122"/>
        <v>30772</v>
      </c>
      <c r="S1436" s="219">
        <f t="shared" si="126"/>
        <v>92.966767371601208</v>
      </c>
    </row>
    <row r="1437" spans="2:19" x14ac:dyDescent="0.2">
      <c r="B1437" s="168">
        <f t="shared" si="123"/>
        <v>72</v>
      </c>
      <c r="C1437" s="3"/>
      <c r="D1437" s="3"/>
      <c r="E1437" s="3"/>
      <c r="F1437" s="25" t="s">
        <v>193</v>
      </c>
      <c r="G1437" s="3">
        <v>637</v>
      </c>
      <c r="H1437" s="3" t="s">
        <v>134</v>
      </c>
      <c r="I1437" s="18">
        <f>82910-7600</f>
        <v>75310</v>
      </c>
      <c r="J1437" s="18">
        <f>13394+40014</f>
        <v>53408</v>
      </c>
      <c r="K1437" s="218">
        <f t="shared" si="124"/>
        <v>70.917540831230909</v>
      </c>
      <c r="L1437" s="279"/>
      <c r="M1437" s="285"/>
      <c r="N1437" s="18"/>
      <c r="O1437" s="218"/>
      <c r="P1437" s="279"/>
      <c r="Q1437" s="285">
        <f t="shared" si="122"/>
        <v>75310</v>
      </c>
      <c r="R1437" s="18">
        <f t="shared" si="122"/>
        <v>53408</v>
      </c>
      <c r="S1437" s="219">
        <f t="shared" si="126"/>
        <v>70.917540831230909</v>
      </c>
    </row>
    <row r="1438" spans="2:19" x14ac:dyDescent="0.2">
      <c r="B1438" s="168">
        <f t="shared" si="123"/>
        <v>73</v>
      </c>
      <c r="C1438" s="7"/>
      <c r="D1438" s="7"/>
      <c r="E1438" s="7"/>
      <c r="F1438" s="24" t="s">
        <v>193</v>
      </c>
      <c r="G1438" s="7">
        <v>640</v>
      </c>
      <c r="H1438" s="7" t="s">
        <v>141</v>
      </c>
      <c r="I1438" s="22">
        <v>350</v>
      </c>
      <c r="J1438" s="22">
        <v>227</v>
      </c>
      <c r="K1438" s="218">
        <f t="shared" si="124"/>
        <v>64.857142857142861</v>
      </c>
      <c r="L1438" s="278"/>
      <c r="M1438" s="284"/>
      <c r="N1438" s="22"/>
      <c r="O1438" s="218"/>
      <c r="P1438" s="278"/>
      <c r="Q1438" s="284">
        <f t="shared" si="122"/>
        <v>350</v>
      </c>
      <c r="R1438" s="22">
        <f t="shared" si="122"/>
        <v>227</v>
      </c>
      <c r="S1438" s="219">
        <f t="shared" si="126"/>
        <v>64.857142857142861</v>
      </c>
    </row>
    <row r="1439" spans="2:19" x14ac:dyDescent="0.2">
      <c r="B1439" s="168">
        <f t="shared" si="123"/>
        <v>74</v>
      </c>
      <c r="C1439" s="7"/>
      <c r="D1439" s="7"/>
      <c r="E1439" s="7"/>
      <c r="F1439" s="24" t="s">
        <v>193</v>
      </c>
      <c r="G1439" s="7">
        <v>710</v>
      </c>
      <c r="H1439" s="7" t="s">
        <v>188</v>
      </c>
      <c r="I1439" s="22"/>
      <c r="J1439" s="22"/>
      <c r="K1439" s="218"/>
      <c r="L1439" s="278"/>
      <c r="M1439" s="284">
        <f>M1440</f>
        <v>14800</v>
      </c>
      <c r="N1439" s="22">
        <f>N1440</f>
        <v>14776</v>
      </c>
      <c r="O1439" s="218">
        <f t="shared" si="125"/>
        <v>99.837837837837839</v>
      </c>
      <c r="P1439" s="278"/>
      <c r="Q1439" s="284">
        <f t="shared" si="122"/>
        <v>14800</v>
      </c>
      <c r="R1439" s="22">
        <f t="shared" si="122"/>
        <v>14776</v>
      </c>
      <c r="S1439" s="219">
        <f t="shared" si="126"/>
        <v>99.837837837837839</v>
      </c>
    </row>
    <row r="1440" spans="2:19" x14ac:dyDescent="0.2">
      <c r="B1440" s="168">
        <f t="shared" si="123"/>
        <v>75</v>
      </c>
      <c r="C1440" s="3"/>
      <c r="D1440" s="3"/>
      <c r="E1440" s="3"/>
      <c r="F1440" s="25" t="s">
        <v>193</v>
      </c>
      <c r="G1440" s="3">
        <v>713</v>
      </c>
      <c r="H1440" s="3" t="s">
        <v>234</v>
      </c>
      <c r="I1440" s="18"/>
      <c r="J1440" s="18"/>
      <c r="K1440" s="218"/>
      <c r="L1440" s="279"/>
      <c r="M1440" s="285">
        <f>M1441+M1442</f>
        <v>14800</v>
      </c>
      <c r="N1440" s="18">
        <f>N1441+N1442</f>
        <v>14776</v>
      </c>
      <c r="O1440" s="218">
        <f t="shared" si="125"/>
        <v>99.837837837837839</v>
      </c>
      <c r="P1440" s="279"/>
      <c r="Q1440" s="285">
        <f t="shared" si="122"/>
        <v>14800</v>
      </c>
      <c r="R1440" s="18">
        <f t="shared" si="122"/>
        <v>14776</v>
      </c>
      <c r="S1440" s="219">
        <f t="shared" si="126"/>
        <v>99.837837837837839</v>
      </c>
    </row>
    <row r="1441" spans="2:19" x14ac:dyDescent="0.2">
      <c r="B1441" s="168">
        <f t="shared" si="123"/>
        <v>76</v>
      </c>
      <c r="C1441" s="4"/>
      <c r="D1441" s="4"/>
      <c r="E1441" s="4"/>
      <c r="F1441" s="30"/>
      <c r="G1441" s="4"/>
      <c r="H1441" s="4" t="s">
        <v>448</v>
      </c>
      <c r="I1441" s="20"/>
      <c r="J1441" s="20"/>
      <c r="K1441" s="218"/>
      <c r="L1441" s="280"/>
      <c r="M1441" s="286">
        <v>3000</v>
      </c>
      <c r="N1441" s="20">
        <v>2980</v>
      </c>
      <c r="O1441" s="218">
        <f t="shared" si="125"/>
        <v>99.333333333333329</v>
      </c>
      <c r="P1441" s="280"/>
      <c r="Q1441" s="286">
        <f t="shared" ref="Q1441:R1482" si="127">I1441+M1441</f>
        <v>3000</v>
      </c>
      <c r="R1441" s="20">
        <f t="shared" si="127"/>
        <v>2980</v>
      </c>
      <c r="S1441" s="219">
        <f t="shared" si="126"/>
        <v>99.333333333333329</v>
      </c>
    </row>
    <row r="1442" spans="2:19" x14ac:dyDescent="0.2">
      <c r="B1442" s="168">
        <f t="shared" si="123"/>
        <v>77</v>
      </c>
      <c r="C1442" s="4"/>
      <c r="D1442" s="4"/>
      <c r="E1442" s="4"/>
      <c r="F1442" s="30"/>
      <c r="G1442" s="4"/>
      <c r="H1442" s="4" t="s">
        <v>579</v>
      </c>
      <c r="I1442" s="20"/>
      <c r="J1442" s="20"/>
      <c r="K1442" s="218"/>
      <c r="L1442" s="280"/>
      <c r="M1442" s="286">
        <f>13200-1400</f>
        <v>11800</v>
      </c>
      <c r="N1442" s="20">
        <v>11796</v>
      </c>
      <c r="O1442" s="218">
        <f t="shared" si="125"/>
        <v>99.966101694915253</v>
      </c>
      <c r="P1442" s="280"/>
      <c r="Q1442" s="286">
        <f t="shared" si="127"/>
        <v>11800</v>
      </c>
      <c r="R1442" s="20">
        <f t="shared" si="127"/>
        <v>11796</v>
      </c>
      <c r="S1442" s="219">
        <f t="shared" si="126"/>
        <v>99.966101694915253</v>
      </c>
    </row>
    <row r="1443" spans="2:19" ht="15" x14ac:dyDescent="0.25">
      <c r="B1443" s="168">
        <f t="shared" si="123"/>
        <v>78</v>
      </c>
      <c r="C1443" s="429"/>
      <c r="D1443" s="429">
        <v>5</v>
      </c>
      <c r="E1443" s="493" t="s">
        <v>265</v>
      </c>
      <c r="F1443" s="494"/>
      <c r="G1443" s="494"/>
      <c r="H1443" s="495"/>
      <c r="I1443" s="36">
        <f>I1444</f>
        <v>46600</v>
      </c>
      <c r="J1443" s="36">
        <f>J1444</f>
        <v>35414</v>
      </c>
      <c r="K1443" s="218">
        <f t="shared" si="124"/>
        <v>75.995708154506431</v>
      </c>
      <c r="L1443" s="277"/>
      <c r="M1443" s="283">
        <v>0</v>
      </c>
      <c r="N1443" s="36"/>
      <c r="O1443" s="218"/>
      <c r="P1443" s="277"/>
      <c r="Q1443" s="283">
        <f t="shared" si="127"/>
        <v>46600</v>
      </c>
      <c r="R1443" s="36">
        <f t="shared" si="127"/>
        <v>35414</v>
      </c>
      <c r="S1443" s="219">
        <f t="shared" si="126"/>
        <v>75.995708154506431</v>
      </c>
    </row>
    <row r="1444" spans="2:19" ht="15" x14ac:dyDescent="0.25">
      <c r="B1444" s="168">
        <f t="shared" si="123"/>
        <v>79</v>
      </c>
      <c r="C1444" s="10"/>
      <c r="D1444" s="10"/>
      <c r="E1444" s="10">
        <v>2</v>
      </c>
      <c r="F1444" s="27"/>
      <c r="G1444" s="10"/>
      <c r="H1444" s="10" t="s">
        <v>18</v>
      </c>
      <c r="I1444" s="37">
        <f>I1445+I1446+I1447</f>
        <v>46600</v>
      </c>
      <c r="J1444" s="37">
        <f>J1445+J1446+J1447</f>
        <v>35414</v>
      </c>
      <c r="K1444" s="218">
        <f t="shared" si="124"/>
        <v>75.995708154506431</v>
      </c>
      <c r="L1444" s="295"/>
      <c r="M1444" s="299"/>
      <c r="N1444" s="37"/>
      <c r="O1444" s="218"/>
      <c r="P1444" s="295"/>
      <c r="Q1444" s="299">
        <f t="shared" si="127"/>
        <v>46600</v>
      </c>
      <c r="R1444" s="37">
        <f t="shared" si="127"/>
        <v>35414</v>
      </c>
      <c r="S1444" s="219">
        <f t="shared" si="126"/>
        <v>75.995708154506431</v>
      </c>
    </row>
    <row r="1445" spans="2:19" x14ac:dyDescent="0.2">
      <c r="B1445" s="168">
        <f t="shared" si="123"/>
        <v>80</v>
      </c>
      <c r="C1445" s="7"/>
      <c r="D1445" s="7"/>
      <c r="E1445" s="7"/>
      <c r="F1445" s="24" t="s">
        <v>193</v>
      </c>
      <c r="G1445" s="7">
        <v>610</v>
      </c>
      <c r="H1445" s="7" t="s">
        <v>143</v>
      </c>
      <c r="I1445" s="22">
        <v>9500</v>
      </c>
      <c r="J1445" s="22">
        <v>6886</v>
      </c>
      <c r="K1445" s="218">
        <f t="shared" si="124"/>
        <v>72.484210526315778</v>
      </c>
      <c r="L1445" s="278"/>
      <c r="M1445" s="284"/>
      <c r="N1445" s="22"/>
      <c r="O1445" s="218"/>
      <c r="P1445" s="278"/>
      <c r="Q1445" s="284">
        <f t="shared" si="127"/>
        <v>9500</v>
      </c>
      <c r="R1445" s="22">
        <f t="shared" si="127"/>
        <v>6886</v>
      </c>
      <c r="S1445" s="219">
        <f t="shared" si="126"/>
        <v>72.484210526315778</v>
      </c>
    </row>
    <row r="1446" spans="2:19" x14ac:dyDescent="0.2">
      <c r="B1446" s="168">
        <f t="shared" si="123"/>
        <v>81</v>
      </c>
      <c r="C1446" s="7"/>
      <c r="D1446" s="7"/>
      <c r="E1446" s="7"/>
      <c r="F1446" s="24" t="s">
        <v>193</v>
      </c>
      <c r="G1446" s="7">
        <v>620</v>
      </c>
      <c r="H1446" s="7" t="s">
        <v>136</v>
      </c>
      <c r="I1446" s="22">
        <v>3400</v>
      </c>
      <c r="J1446" s="22">
        <v>2314</v>
      </c>
      <c r="K1446" s="218">
        <f t="shared" si="124"/>
        <v>68.058823529411754</v>
      </c>
      <c r="L1446" s="278"/>
      <c r="M1446" s="284"/>
      <c r="N1446" s="22"/>
      <c r="O1446" s="218"/>
      <c r="P1446" s="278"/>
      <c r="Q1446" s="284">
        <f t="shared" si="127"/>
        <v>3400</v>
      </c>
      <c r="R1446" s="22">
        <f t="shared" si="127"/>
        <v>2314</v>
      </c>
      <c r="S1446" s="219">
        <f t="shared" si="126"/>
        <v>68.058823529411754</v>
      </c>
    </row>
    <row r="1447" spans="2:19" x14ac:dyDescent="0.2">
      <c r="B1447" s="168">
        <f t="shared" si="123"/>
        <v>82</v>
      </c>
      <c r="C1447" s="7"/>
      <c r="D1447" s="7"/>
      <c r="E1447" s="7"/>
      <c r="F1447" s="24" t="s">
        <v>193</v>
      </c>
      <c r="G1447" s="7">
        <v>630</v>
      </c>
      <c r="H1447" s="7" t="s">
        <v>133</v>
      </c>
      <c r="I1447" s="22">
        <f>I1452+I1451+I1450+I1449+I1448</f>
        <v>33700</v>
      </c>
      <c r="J1447" s="22">
        <f>J1452+J1451+J1450+J1449+J1448</f>
        <v>26214</v>
      </c>
      <c r="K1447" s="218">
        <f t="shared" si="124"/>
        <v>77.786350148367958</v>
      </c>
      <c r="L1447" s="278"/>
      <c r="M1447" s="284"/>
      <c r="N1447" s="22"/>
      <c r="O1447" s="218"/>
      <c r="P1447" s="278"/>
      <c r="Q1447" s="284">
        <f t="shared" si="127"/>
        <v>33700</v>
      </c>
      <c r="R1447" s="22">
        <f t="shared" si="127"/>
        <v>26214</v>
      </c>
      <c r="S1447" s="219">
        <f t="shared" si="126"/>
        <v>77.786350148367958</v>
      </c>
    </row>
    <row r="1448" spans="2:19" x14ac:dyDescent="0.2">
      <c r="B1448" s="168">
        <f t="shared" si="123"/>
        <v>83</v>
      </c>
      <c r="C1448" s="3"/>
      <c r="D1448" s="3"/>
      <c r="E1448" s="3"/>
      <c r="F1448" s="25" t="s">
        <v>193</v>
      </c>
      <c r="G1448" s="3">
        <v>632</v>
      </c>
      <c r="H1448" s="3" t="s">
        <v>146</v>
      </c>
      <c r="I1448" s="18">
        <v>10500</v>
      </c>
      <c r="J1448" s="18">
        <v>7737</v>
      </c>
      <c r="K1448" s="218">
        <f t="shared" si="124"/>
        <v>73.685714285714283</v>
      </c>
      <c r="L1448" s="279"/>
      <c r="M1448" s="285"/>
      <c r="N1448" s="18"/>
      <c r="O1448" s="218"/>
      <c r="P1448" s="279"/>
      <c r="Q1448" s="285">
        <f t="shared" si="127"/>
        <v>10500</v>
      </c>
      <c r="R1448" s="18">
        <f t="shared" si="127"/>
        <v>7737</v>
      </c>
      <c r="S1448" s="219">
        <f t="shared" si="126"/>
        <v>73.685714285714283</v>
      </c>
    </row>
    <row r="1449" spans="2:19" x14ac:dyDescent="0.2">
      <c r="B1449" s="168">
        <f t="shared" si="123"/>
        <v>84</v>
      </c>
      <c r="C1449" s="3"/>
      <c r="D1449" s="3"/>
      <c r="E1449" s="3"/>
      <c r="F1449" s="25" t="s">
        <v>193</v>
      </c>
      <c r="G1449" s="3">
        <v>633</v>
      </c>
      <c r="H1449" s="3" t="s">
        <v>137</v>
      </c>
      <c r="I1449" s="18">
        <v>4000</v>
      </c>
      <c r="J1449" s="18">
        <v>1842</v>
      </c>
      <c r="K1449" s="218">
        <f t="shared" si="124"/>
        <v>46.050000000000004</v>
      </c>
      <c r="L1449" s="279"/>
      <c r="M1449" s="285"/>
      <c r="N1449" s="18"/>
      <c r="O1449" s="218"/>
      <c r="P1449" s="279"/>
      <c r="Q1449" s="285">
        <f t="shared" si="127"/>
        <v>4000</v>
      </c>
      <c r="R1449" s="18">
        <f t="shared" si="127"/>
        <v>1842</v>
      </c>
      <c r="S1449" s="219">
        <f t="shared" si="126"/>
        <v>46.050000000000004</v>
      </c>
    </row>
    <row r="1450" spans="2:19" x14ac:dyDescent="0.2">
      <c r="B1450" s="168">
        <f t="shared" si="123"/>
        <v>85</v>
      </c>
      <c r="C1450" s="3"/>
      <c r="D1450" s="3"/>
      <c r="E1450" s="3"/>
      <c r="F1450" s="25" t="s">
        <v>193</v>
      </c>
      <c r="G1450" s="3">
        <v>634</v>
      </c>
      <c r="H1450" s="3" t="s">
        <v>144</v>
      </c>
      <c r="I1450" s="18">
        <v>200</v>
      </c>
      <c r="J1450" s="18">
        <v>188</v>
      </c>
      <c r="K1450" s="218">
        <f t="shared" si="124"/>
        <v>94</v>
      </c>
      <c r="L1450" s="279"/>
      <c r="M1450" s="285"/>
      <c r="N1450" s="18"/>
      <c r="O1450" s="218"/>
      <c r="P1450" s="279"/>
      <c r="Q1450" s="285">
        <f t="shared" si="127"/>
        <v>200</v>
      </c>
      <c r="R1450" s="18">
        <f t="shared" si="127"/>
        <v>188</v>
      </c>
      <c r="S1450" s="219">
        <f t="shared" si="126"/>
        <v>94</v>
      </c>
    </row>
    <row r="1451" spans="2:19" x14ac:dyDescent="0.2">
      <c r="B1451" s="168">
        <f t="shared" si="123"/>
        <v>86</v>
      </c>
      <c r="C1451" s="3"/>
      <c r="D1451" s="3"/>
      <c r="E1451" s="3"/>
      <c r="F1451" s="25" t="s">
        <v>193</v>
      </c>
      <c r="G1451" s="3">
        <v>635</v>
      </c>
      <c r="H1451" s="3" t="s">
        <v>145</v>
      </c>
      <c r="I1451" s="18">
        <f>4000+1500+12000</f>
        <v>17500</v>
      </c>
      <c r="J1451" s="18">
        <v>15795</v>
      </c>
      <c r="K1451" s="218">
        <f t="shared" si="124"/>
        <v>90.257142857142853</v>
      </c>
      <c r="L1451" s="279"/>
      <c r="M1451" s="285"/>
      <c r="N1451" s="18"/>
      <c r="O1451" s="218"/>
      <c r="P1451" s="279"/>
      <c r="Q1451" s="285">
        <f t="shared" si="127"/>
        <v>17500</v>
      </c>
      <c r="R1451" s="18">
        <f t="shared" si="127"/>
        <v>15795</v>
      </c>
      <c r="S1451" s="219">
        <f t="shared" si="126"/>
        <v>90.257142857142853</v>
      </c>
    </row>
    <row r="1452" spans="2:19" x14ac:dyDescent="0.2">
      <c r="B1452" s="168">
        <f t="shared" si="123"/>
        <v>87</v>
      </c>
      <c r="C1452" s="3"/>
      <c r="D1452" s="3"/>
      <c r="E1452" s="3"/>
      <c r="F1452" s="25" t="s">
        <v>193</v>
      </c>
      <c r="G1452" s="3">
        <v>637</v>
      </c>
      <c r="H1452" s="3" t="s">
        <v>134</v>
      </c>
      <c r="I1452" s="18">
        <v>1500</v>
      </c>
      <c r="J1452" s="18">
        <v>652</v>
      </c>
      <c r="K1452" s="218">
        <f t="shared" si="124"/>
        <v>43.466666666666661</v>
      </c>
      <c r="L1452" s="279"/>
      <c r="M1452" s="285"/>
      <c r="N1452" s="18"/>
      <c r="O1452" s="218"/>
      <c r="P1452" s="279"/>
      <c r="Q1452" s="285">
        <f t="shared" si="127"/>
        <v>1500</v>
      </c>
      <c r="R1452" s="18">
        <f t="shared" si="127"/>
        <v>652</v>
      </c>
      <c r="S1452" s="219">
        <f t="shared" si="126"/>
        <v>43.466666666666661</v>
      </c>
    </row>
    <row r="1453" spans="2:19" ht="15" x14ac:dyDescent="0.2">
      <c r="B1453" s="168">
        <f t="shared" si="123"/>
        <v>88</v>
      </c>
      <c r="C1453" s="430">
        <v>4</v>
      </c>
      <c r="D1453" s="505" t="s">
        <v>390</v>
      </c>
      <c r="E1453" s="494"/>
      <c r="F1453" s="494"/>
      <c r="G1453" s="494"/>
      <c r="H1453" s="495"/>
      <c r="I1453" s="127">
        <f>I1454+I1472</f>
        <v>69290</v>
      </c>
      <c r="J1453" s="127">
        <f>J1454+J1472</f>
        <v>57171</v>
      </c>
      <c r="K1453" s="218">
        <f t="shared" si="124"/>
        <v>82.509741665463991</v>
      </c>
      <c r="L1453" s="276"/>
      <c r="M1453" s="282">
        <f>M1454+M1472</f>
        <v>1567868</v>
      </c>
      <c r="N1453" s="35">
        <f>N1454+N1472</f>
        <v>387784</v>
      </c>
      <c r="O1453" s="218">
        <f t="shared" si="125"/>
        <v>24.733204580997889</v>
      </c>
      <c r="P1453" s="276"/>
      <c r="Q1453" s="282">
        <f t="shared" si="127"/>
        <v>1637158</v>
      </c>
      <c r="R1453" s="35">
        <f t="shared" si="127"/>
        <v>444955</v>
      </c>
      <c r="S1453" s="219">
        <f t="shared" si="126"/>
        <v>27.178500792226529</v>
      </c>
    </row>
    <row r="1454" spans="2:19" x14ac:dyDescent="0.2">
      <c r="B1454" s="168">
        <f t="shared" si="123"/>
        <v>89</v>
      </c>
      <c r="C1454" s="7"/>
      <c r="D1454" s="7"/>
      <c r="E1454" s="7"/>
      <c r="F1454" s="24" t="s">
        <v>193</v>
      </c>
      <c r="G1454" s="7">
        <v>710</v>
      </c>
      <c r="H1454" s="7" t="s">
        <v>188</v>
      </c>
      <c r="I1454" s="22"/>
      <c r="J1454" s="22"/>
      <c r="K1454" s="218"/>
      <c r="L1454" s="278"/>
      <c r="M1454" s="284">
        <f>M1455+M1461+M1468</f>
        <v>1545622</v>
      </c>
      <c r="N1454" s="22">
        <f>N1455+N1461+N1468</f>
        <v>369344</v>
      </c>
      <c r="O1454" s="218">
        <f t="shared" si="125"/>
        <v>23.896140194691846</v>
      </c>
      <c r="P1454" s="278"/>
      <c r="Q1454" s="284">
        <f t="shared" si="127"/>
        <v>1545622</v>
      </c>
      <c r="R1454" s="22">
        <f t="shared" si="127"/>
        <v>369344</v>
      </c>
      <c r="S1454" s="219">
        <f t="shared" si="126"/>
        <v>23.896140194691846</v>
      </c>
    </row>
    <row r="1455" spans="2:19" x14ac:dyDescent="0.2">
      <c r="B1455" s="168">
        <f t="shared" si="123"/>
        <v>90</v>
      </c>
      <c r="C1455" s="3"/>
      <c r="D1455" s="3"/>
      <c r="E1455" s="3"/>
      <c r="F1455" s="25" t="s">
        <v>193</v>
      </c>
      <c r="G1455" s="3">
        <v>716</v>
      </c>
      <c r="H1455" s="3" t="s">
        <v>231</v>
      </c>
      <c r="I1455" s="18"/>
      <c r="J1455" s="18"/>
      <c r="K1455" s="218"/>
      <c r="L1455" s="279"/>
      <c r="M1455" s="285">
        <f>SUM(M1456:M1460)</f>
        <v>59300</v>
      </c>
      <c r="N1455" s="18">
        <f>SUM(N1456:N1460)</f>
        <v>54555</v>
      </c>
      <c r="O1455" s="218">
        <f t="shared" si="125"/>
        <v>91.998313659359184</v>
      </c>
      <c r="P1455" s="279"/>
      <c r="Q1455" s="285">
        <f t="shared" si="127"/>
        <v>59300</v>
      </c>
      <c r="R1455" s="18">
        <f t="shared" si="127"/>
        <v>54555</v>
      </c>
      <c r="S1455" s="219">
        <f t="shared" si="126"/>
        <v>91.998313659359184</v>
      </c>
    </row>
    <row r="1456" spans="2:19" x14ac:dyDescent="0.2">
      <c r="B1456" s="168">
        <f t="shared" si="123"/>
        <v>91</v>
      </c>
      <c r="C1456" s="4"/>
      <c r="D1456" s="4"/>
      <c r="E1456" s="4"/>
      <c r="F1456" s="26"/>
      <c r="G1456" s="4"/>
      <c r="H1456" s="4" t="s">
        <v>473</v>
      </c>
      <c r="I1456" s="20"/>
      <c r="J1456" s="20"/>
      <c r="K1456" s="218"/>
      <c r="L1456" s="280"/>
      <c r="M1456" s="286">
        <v>23000</v>
      </c>
      <c r="N1456" s="20">
        <v>22584</v>
      </c>
      <c r="O1456" s="218">
        <f t="shared" si="125"/>
        <v>98.19130434782609</v>
      </c>
      <c r="P1456" s="280"/>
      <c r="Q1456" s="286">
        <f t="shared" si="127"/>
        <v>23000</v>
      </c>
      <c r="R1456" s="20">
        <f t="shared" si="127"/>
        <v>22584</v>
      </c>
      <c r="S1456" s="219">
        <f t="shared" si="126"/>
        <v>98.19130434782609</v>
      </c>
    </row>
    <row r="1457" spans="2:19" x14ac:dyDescent="0.2">
      <c r="B1457" s="168">
        <f t="shared" si="123"/>
        <v>92</v>
      </c>
      <c r="C1457" s="4"/>
      <c r="D1457" s="4"/>
      <c r="E1457" s="4"/>
      <c r="F1457" s="26"/>
      <c r="G1457" s="4"/>
      <c r="H1457" s="4" t="s">
        <v>367</v>
      </c>
      <c r="I1457" s="20"/>
      <c r="J1457" s="20"/>
      <c r="K1457" s="218"/>
      <c r="L1457" s="280"/>
      <c r="M1457" s="286">
        <f>2000+300</f>
        <v>2300</v>
      </c>
      <c r="N1457" s="20">
        <v>2290</v>
      </c>
      <c r="O1457" s="218">
        <f t="shared" si="125"/>
        <v>99.565217391304344</v>
      </c>
      <c r="P1457" s="280"/>
      <c r="Q1457" s="286">
        <f t="shared" si="127"/>
        <v>2300</v>
      </c>
      <c r="R1457" s="20">
        <f t="shared" si="127"/>
        <v>2290</v>
      </c>
      <c r="S1457" s="219">
        <f t="shared" si="126"/>
        <v>99.565217391304344</v>
      </c>
    </row>
    <row r="1458" spans="2:19" x14ac:dyDescent="0.2">
      <c r="B1458" s="168">
        <f t="shared" si="123"/>
        <v>93</v>
      </c>
      <c r="C1458" s="4"/>
      <c r="D1458" s="4"/>
      <c r="E1458" s="4"/>
      <c r="F1458" s="26"/>
      <c r="G1458" s="4"/>
      <c r="H1458" s="4" t="s">
        <v>471</v>
      </c>
      <c r="I1458" s="20"/>
      <c r="J1458" s="20"/>
      <c r="K1458" s="218"/>
      <c r="L1458" s="280"/>
      <c r="M1458" s="286">
        <v>3000</v>
      </c>
      <c r="N1458" s="20">
        <v>2847</v>
      </c>
      <c r="O1458" s="218">
        <f t="shared" si="125"/>
        <v>94.899999999999991</v>
      </c>
      <c r="P1458" s="280"/>
      <c r="Q1458" s="286">
        <f t="shared" si="127"/>
        <v>3000</v>
      </c>
      <c r="R1458" s="20">
        <f t="shared" si="127"/>
        <v>2847</v>
      </c>
      <c r="S1458" s="219">
        <f t="shared" si="126"/>
        <v>94.899999999999991</v>
      </c>
    </row>
    <row r="1459" spans="2:19" x14ac:dyDescent="0.2">
      <c r="B1459" s="168">
        <f t="shared" si="123"/>
        <v>94</v>
      </c>
      <c r="C1459" s="4"/>
      <c r="D1459" s="4"/>
      <c r="E1459" s="4"/>
      <c r="F1459" s="26"/>
      <c r="G1459" s="4"/>
      <c r="H1459" s="4" t="s">
        <v>512</v>
      </c>
      <c r="I1459" s="20"/>
      <c r="J1459" s="20"/>
      <c r="K1459" s="218"/>
      <c r="L1459" s="280"/>
      <c r="M1459" s="286">
        <f>15000+5000+1000</f>
        <v>21000</v>
      </c>
      <c r="N1459" s="20">
        <v>20677</v>
      </c>
      <c r="O1459" s="218">
        <f t="shared" si="125"/>
        <v>98.461904761904762</v>
      </c>
      <c r="P1459" s="280"/>
      <c r="Q1459" s="286">
        <f t="shared" si="127"/>
        <v>21000</v>
      </c>
      <c r="R1459" s="20">
        <f t="shared" si="127"/>
        <v>20677</v>
      </c>
      <c r="S1459" s="219">
        <f t="shared" si="126"/>
        <v>98.461904761904762</v>
      </c>
    </row>
    <row r="1460" spans="2:19" x14ac:dyDescent="0.2">
      <c r="B1460" s="168">
        <f t="shared" si="123"/>
        <v>95</v>
      </c>
      <c r="C1460" s="4"/>
      <c r="D1460" s="4"/>
      <c r="E1460" s="4"/>
      <c r="F1460" s="26"/>
      <c r="G1460" s="4"/>
      <c r="H1460" s="4" t="s">
        <v>517</v>
      </c>
      <c r="I1460" s="20"/>
      <c r="J1460" s="20"/>
      <c r="K1460" s="218"/>
      <c r="L1460" s="280"/>
      <c r="M1460" s="286">
        <v>10000</v>
      </c>
      <c r="N1460" s="20">
        <v>6157</v>
      </c>
      <c r="O1460" s="218">
        <f t="shared" si="125"/>
        <v>61.57</v>
      </c>
      <c r="P1460" s="280"/>
      <c r="Q1460" s="286">
        <f t="shared" si="127"/>
        <v>10000</v>
      </c>
      <c r="R1460" s="20">
        <f t="shared" si="127"/>
        <v>6157</v>
      </c>
      <c r="S1460" s="219">
        <f t="shared" si="126"/>
        <v>61.57</v>
      </c>
    </row>
    <row r="1461" spans="2:19" x14ac:dyDescent="0.2">
      <c r="B1461" s="168">
        <f t="shared" si="123"/>
        <v>96</v>
      </c>
      <c r="C1461" s="3"/>
      <c r="D1461" s="3"/>
      <c r="E1461" s="3"/>
      <c r="F1461" s="25" t="s">
        <v>193</v>
      </c>
      <c r="G1461" s="3">
        <v>717</v>
      </c>
      <c r="H1461" s="3" t="s">
        <v>198</v>
      </c>
      <c r="I1461" s="18"/>
      <c r="J1461" s="18"/>
      <c r="K1461" s="218"/>
      <c r="L1461" s="279"/>
      <c r="M1461" s="285">
        <f>SUM(M1462:M1467)</f>
        <v>401348</v>
      </c>
      <c r="N1461" s="18">
        <f>SUM(N1462:N1467)</f>
        <v>314789</v>
      </c>
      <c r="O1461" s="218">
        <f t="shared" si="125"/>
        <v>78.432931022454326</v>
      </c>
      <c r="P1461" s="279"/>
      <c r="Q1461" s="285">
        <f t="shared" si="127"/>
        <v>401348</v>
      </c>
      <c r="R1461" s="18">
        <f t="shared" si="127"/>
        <v>314789</v>
      </c>
      <c r="S1461" s="219">
        <f t="shared" si="126"/>
        <v>78.432931022454326</v>
      </c>
    </row>
    <row r="1462" spans="2:19" x14ac:dyDescent="0.2">
      <c r="B1462" s="168">
        <f t="shared" si="123"/>
        <v>97</v>
      </c>
      <c r="C1462" s="4"/>
      <c r="D1462" s="4"/>
      <c r="E1462" s="4"/>
      <c r="F1462" s="26"/>
      <c r="G1462" s="4"/>
      <c r="H1462" s="4" t="s">
        <v>297</v>
      </c>
      <c r="I1462" s="20"/>
      <c r="J1462" s="20"/>
      <c r="K1462" s="218"/>
      <c r="L1462" s="280"/>
      <c r="M1462" s="286">
        <f>35760-120-2000</f>
        <v>33640</v>
      </c>
      <c r="N1462" s="20">
        <v>31500</v>
      </c>
      <c r="O1462" s="218">
        <f t="shared" si="125"/>
        <v>93.638525564803814</v>
      </c>
      <c r="P1462" s="280"/>
      <c r="Q1462" s="286">
        <f t="shared" si="127"/>
        <v>33640</v>
      </c>
      <c r="R1462" s="20">
        <f t="shared" si="127"/>
        <v>31500</v>
      </c>
      <c r="S1462" s="219">
        <f t="shared" si="126"/>
        <v>93.638525564803814</v>
      </c>
    </row>
    <row r="1463" spans="2:19" x14ac:dyDescent="0.2">
      <c r="B1463" s="168">
        <f t="shared" si="123"/>
        <v>98</v>
      </c>
      <c r="C1463" s="4"/>
      <c r="D1463" s="4"/>
      <c r="E1463" s="4"/>
      <c r="F1463" s="26"/>
      <c r="G1463" s="4"/>
      <c r="H1463" s="4" t="s">
        <v>471</v>
      </c>
      <c r="I1463" s="20"/>
      <c r="J1463" s="20"/>
      <c r="K1463" s="218"/>
      <c r="L1463" s="280"/>
      <c r="M1463" s="286">
        <v>77000</v>
      </c>
      <c r="N1463" s="20">
        <v>332</v>
      </c>
      <c r="O1463" s="218">
        <f t="shared" si="125"/>
        <v>0.43116883116883115</v>
      </c>
      <c r="P1463" s="280"/>
      <c r="Q1463" s="286">
        <f t="shared" si="127"/>
        <v>77000</v>
      </c>
      <c r="R1463" s="20">
        <f t="shared" si="127"/>
        <v>332</v>
      </c>
      <c r="S1463" s="219">
        <f t="shared" si="126"/>
        <v>0.43116883116883115</v>
      </c>
    </row>
    <row r="1464" spans="2:19" x14ac:dyDescent="0.2">
      <c r="B1464" s="168">
        <f t="shared" si="123"/>
        <v>99</v>
      </c>
      <c r="C1464" s="4"/>
      <c r="D1464" s="4"/>
      <c r="E1464" s="4"/>
      <c r="F1464" s="26"/>
      <c r="G1464" s="4"/>
      <c r="H1464" s="4" t="s">
        <v>440</v>
      </c>
      <c r="I1464" s="20"/>
      <c r="J1464" s="20"/>
      <c r="K1464" s="218"/>
      <c r="L1464" s="280"/>
      <c r="M1464" s="286">
        <v>60000</v>
      </c>
      <c r="N1464" s="20">
        <v>59640</v>
      </c>
      <c r="O1464" s="218">
        <f t="shared" si="125"/>
        <v>99.4</v>
      </c>
      <c r="P1464" s="280"/>
      <c r="Q1464" s="286">
        <f t="shared" si="127"/>
        <v>60000</v>
      </c>
      <c r="R1464" s="20">
        <f t="shared" si="127"/>
        <v>59640</v>
      </c>
      <c r="S1464" s="219">
        <f t="shared" si="126"/>
        <v>99.4</v>
      </c>
    </row>
    <row r="1465" spans="2:19" x14ac:dyDescent="0.2">
      <c r="B1465" s="168">
        <f t="shared" si="123"/>
        <v>100</v>
      </c>
      <c r="C1465" s="4"/>
      <c r="D1465" s="4"/>
      <c r="E1465" s="4"/>
      <c r="F1465" s="26"/>
      <c r="G1465" s="4"/>
      <c r="H1465" s="4" t="s">
        <v>513</v>
      </c>
      <c r="I1465" s="20"/>
      <c r="J1465" s="20"/>
      <c r="K1465" s="218"/>
      <c r="L1465" s="280"/>
      <c r="M1465" s="286">
        <v>215000</v>
      </c>
      <c r="N1465" s="20">
        <f>2723+209990</f>
        <v>212713</v>
      </c>
      <c r="O1465" s="218">
        <f t="shared" si="125"/>
        <v>98.936279069767437</v>
      </c>
      <c r="P1465" s="280"/>
      <c r="Q1465" s="286">
        <f t="shared" si="127"/>
        <v>215000</v>
      </c>
      <c r="R1465" s="20">
        <f t="shared" si="127"/>
        <v>212713</v>
      </c>
      <c r="S1465" s="219">
        <f t="shared" si="126"/>
        <v>98.936279069767437</v>
      </c>
    </row>
    <row r="1466" spans="2:19" x14ac:dyDescent="0.2">
      <c r="B1466" s="168">
        <f t="shared" si="123"/>
        <v>101</v>
      </c>
      <c r="C1466" s="4"/>
      <c r="D1466" s="4"/>
      <c r="E1466" s="4"/>
      <c r="F1466" s="26"/>
      <c r="G1466" s="4"/>
      <c r="H1466" s="4" t="s">
        <v>589</v>
      </c>
      <c r="I1466" s="20"/>
      <c r="J1466" s="20"/>
      <c r="K1466" s="218"/>
      <c r="L1466" s="280"/>
      <c r="M1466" s="286">
        <v>5000</v>
      </c>
      <c r="N1466" s="20"/>
      <c r="O1466" s="218">
        <f t="shared" si="125"/>
        <v>0</v>
      </c>
      <c r="P1466" s="280"/>
      <c r="Q1466" s="286">
        <f t="shared" si="127"/>
        <v>5000</v>
      </c>
      <c r="R1466" s="20">
        <f t="shared" si="127"/>
        <v>0</v>
      </c>
      <c r="S1466" s="219">
        <f t="shared" si="126"/>
        <v>0</v>
      </c>
    </row>
    <row r="1467" spans="2:19" x14ac:dyDescent="0.2">
      <c r="B1467" s="168">
        <f t="shared" si="123"/>
        <v>102</v>
      </c>
      <c r="C1467" s="4"/>
      <c r="D1467" s="4"/>
      <c r="E1467" s="4"/>
      <c r="F1467" s="26"/>
      <c r="G1467" s="4"/>
      <c r="H1467" s="4" t="s">
        <v>618</v>
      </c>
      <c r="I1467" s="20"/>
      <c r="J1467" s="20"/>
      <c r="K1467" s="218"/>
      <c r="L1467" s="280"/>
      <c r="M1467" s="286">
        <v>10708</v>
      </c>
      <c r="N1467" s="20">
        <f>5251+5353</f>
        <v>10604</v>
      </c>
      <c r="O1467" s="218">
        <f t="shared" si="125"/>
        <v>99.028763541277556</v>
      </c>
      <c r="P1467" s="280"/>
      <c r="Q1467" s="286">
        <f t="shared" si="127"/>
        <v>10708</v>
      </c>
      <c r="R1467" s="20">
        <f t="shared" si="127"/>
        <v>10604</v>
      </c>
      <c r="S1467" s="219">
        <f t="shared" si="126"/>
        <v>99.028763541277556</v>
      </c>
    </row>
    <row r="1468" spans="2:19" x14ac:dyDescent="0.2">
      <c r="B1468" s="168">
        <f t="shared" si="123"/>
        <v>103</v>
      </c>
      <c r="C1468" s="4"/>
      <c r="D1468" s="4"/>
      <c r="E1468" s="4"/>
      <c r="F1468" s="25" t="s">
        <v>201</v>
      </c>
      <c r="G1468" s="3">
        <v>717</v>
      </c>
      <c r="H1468" s="3" t="s">
        <v>198</v>
      </c>
      <c r="I1468" s="20"/>
      <c r="J1468" s="20"/>
      <c r="K1468" s="218"/>
      <c r="L1468" s="280"/>
      <c r="M1468" s="285">
        <f>M1469+M1470+M1471</f>
        <v>1084974</v>
      </c>
      <c r="N1468" s="18">
        <f>N1469+N1470+N1471</f>
        <v>0</v>
      </c>
      <c r="O1468" s="218">
        <f t="shared" si="125"/>
        <v>0</v>
      </c>
      <c r="P1468" s="279"/>
      <c r="Q1468" s="285">
        <f t="shared" si="127"/>
        <v>1084974</v>
      </c>
      <c r="R1468" s="18">
        <f t="shared" si="127"/>
        <v>0</v>
      </c>
      <c r="S1468" s="219">
        <f t="shared" si="126"/>
        <v>0</v>
      </c>
    </row>
    <row r="1469" spans="2:19" x14ac:dyDescent="0.2">
      <c r="B1469" s="168">
        <f t="shared" si="123"/>
        <v>104</v>
      </c>
      <c r="C1469" s="4"/>
      <c r="D1469" s="4"/>
      <c r="E1469" s="4"/>
      <c r="F1469" s="26"/>
      <c r="G1469" s="4"/>
      <c r="H1469" s="4" t="s">
        <v>640</v>
      </c>
      <c r="I1469" s="20"/>
      <c r="J1469" s="20"/>
      <c r="K1469" s="218"/>
      <c r="L1469" s="280"/>
      <c r="M1469" s="286">
        <v>278099</v>
      </c>
      <c r="N1469" s="20"/>
      <c r="O1469" s="218">
        <f t="shared" si="125"/>
        <v>0</v>
      </c>
      <c r="P1469" s="280"/>
      <c r="Q1469" s="286">
        <f t="shared" si="127"/>
        <v>278099</v>
      </c>
      <c r="R1469" s="20">
        <f t="shared" si="127"/>
        <v>0</v>
      </c>
      <c r="S1469" s="219">
        <f t="shared" si="126"/>
        <v>0</v>
      </c>
    </row>
    <row r="1470" spans="2:19" x14ac:dyDescent="0.2">
      <c r="B1470" s="168">
        <f t="shared" si="123"/>
        <v>105</v>
      </c>
      <c r="C1470" s="4"/>
      <c r="D1470" s="4"/>
      <c r="E1470" s="4"/>
      <c r="F1470" s="26"/>
      <c r="G1470" s="4"/>
      <c r="H1470" s="4" t="s">
        <v>641</v>
      </c>
      <c r="I1470" s="20"/>
      <c r="J1470" s="20"/>
      <c r="K1470" s="218"/>
      <c r="L1470" s="280"/>
      <c r="M1470" s="286">
        <v>799875</v>
      </c>
      <c r="N1470" s="20"/>
      <c r="O1470" s="218">
        <f t="shared" si="125"/>
        <v>0</v>
      </c>
      <c r="P1470" s="280"/>
      <c r="Q1470" s="286">
        <f t="shared" si="127"/>
        <v>799875</v>
      </c>
      <c r="R1470" s="20">
        <f t="shared" si="127"/>
        <v>0</v>
      </c>
      <c r="S1470" s="219">
        <f t="shared" si="126"/>
        <v>0</v>
      </c>
    </row>
    <row r="1471" spans="2:19" x14ac:dyDescent="0.2">
      <c r="B1471" s="168">
        <f t="shared" si="123"/>
        <v>106</v>
      </c>
      <c r="C1471" s="4"/>
      <c r="D1471" s="4"/>
      <c r="E1471" s="4"/>
      <c r="F1471" s="26"/>
      <c r="G1471" s="4"/>
      <c r="H1471" s="4" t="s">
        <v>653</v>
      </c>
      <c r="I1471" s="20"/>
      <c r="J1471" s="20"/>
      <c r="K1471" s="218"/>
      <c r="L1471" s="280"/>
      <c r="M1471" s="286">
        <v>7000</v>
      </c>
      <c r="N1471" s="20"/>
      <c r="O1471" s="218">
        <f t="shared" si="125"/>
        <v>0</v>
      </c>
      <c r="P1471" s="280"/>
      <c r="Q1471" s="286">
        <f t="shared" si="127"/>
        <v>7000</v>
      </c>
      <c r="R1471" s="20">
        <f t="shared" si="127"/>
        <v>0</v>
      </c>
      <c r="S1471" s="219">
        <f t="shared" si="126"/>
        <v>0</v>
      </c>
    </row>
    <row r="1472" spans="2:19" ht="15" x14ac:dyDescent="0.25">
      <c r="B1472" s="168">
        <f t="shared" si="123"/>
        <v>107</v>
      </c>
      <c r="C1472" s="10"/>
      <c r="D1472" s="10"/>
      <c r="E1472" s="10">
        <v>2</v>
      </c>
      <c r="F1472" s="27"/>
      <c r="G1472" s="10"/>
      <c r="H1472" s="10" t="s">
        <v>401</v>
      </c>
      <c r="I1472" s="37">
        <f>I1473+I1474+I1475+I1484+I1485</f>
        <v>69290</v>
      </c>
      <c r="J1472" s="37">
        <f>J1473+J1474+J1475+J1484+J1485</f>
        <v>57171</v>
      </c>
      <c r="K1472" s="218">
        <f t="shared" si="124"/>
        <v>82.509741665463991</v>
      </c>
      <c r="L1472" s="295"/>
      <c r="M1472" s="299">
        <f>M1485</f>
        <v>22246</v>
      </c>
      <c r="N1472" s="37">
        <f>N1485</f>
        <v>18440</v>
      </c>
      <c r="O1472" s="218">
        <f t="shared" si="125"/>
        <v>82.891306302256581</v>
      </c>
      <c r="P1472" s="295"/>
      <c r="Q1472" s="299">
        <f t="shared" si="127"/>
        <v>91536</v>
      </c>
      <c r="R1472" s="37">
        <f t="shared" si="127"/>
        <v>75611</v>
      </c>
      <c r="S1472" s="219">
        <f t="shared" si="126"/>
        <v>82.602473343821018</v>
      </c>
    </row>
    <row r="1473" spans="2:19" x14ac:dyDescent="0.2">
      <c r="B1473" s="168">
        <f t="shared" si="123"/>
        <v>108</v>
      </c>
      <c r="C1473" s="7"/>
      <c r="D1473" s="7"/>
      <c r="E1473" s="7"/>
      <c r="F1473" s="24" t="s">
        <v>193</v>
      </c>
      <c r="G1473" s="7">
        <v>610</v>
      </c>
      <c r="H1473" s="7" t="s">
        <v>143</v>
      </c>
      <c r="I1473" s="22">
        <v>24500</v>
      </c>
      <c r="J1473" s="22">
        <v>24283</v>
      </c>
      <c r="K1473" s="218">
        <f t="shared" si="124"/>
        <v>99.114285714285714</v>
      </c>
      <c r="L1473" s="278"/>
      <c r="M1473" s="284"/>
      <c r="N1473" s="22"/>
      <c r="O1473" s="218"/>
      <c r="P1473" s="278"/>
      <c r="Q1473" s="284">
        <f t="shared" si="127"/>
        <v>24500</v>
      </c>
      <c r="R1473" s="22">
        <f t="shared" si="127"/>
        <v>24283</v>
      </c>
      <c r="S1473" s="219">
        <f t="shared" si="126"/>
        <v>99.114285714285714</v>
      </c>
    </row>
    <row r="1474" spans="2:19" x14ac:dyDescent="0.2">
      <c r="B1474" s="168">
        <f t="shared" si="123"/>
        <v>109</v>
      </c>
      <c r="C1474" s="7"/>
      <c r="D1474" s="7"/>
      <c r="E1474" s="7"/>
      <c r="F1474" s="24" t="s">
        <v>193</v>
      </c>
      <c r="G1474" s="7">
        <v>620</v>
      </c>
      <c r="H1474" s="7" t="s">
        <v>136</v>
      </c>
      <c r="I1474" s="22">
        <v>10720</v>
      </c>
      <c r="J1474" s="22">
        <v>8878</v>
      </c>
      <c r="K1474" s="218">
        <f t="shared" si="124"/>
        <v>82.817164179104481</v>
      </c>
      <c r="L1474" s="278"/>
      <c r="M1474" s="284"/>
      <c r="N1474" s="22"/>
      <c r="O1474" s="218"/>
      <c r="P1474" s="278"/>
      <c r="Q1474" s="284">
        <f t="shared" si="127"/>
        <v>10720</v>
      </c>
      <c r="R1474" s="22">
        <f t="shared" si="127"/>
        <v>8878</v>
      </c>
      <c r="S1474" s="219">
        <f t="shared" si="126"/>
        <v>82.817164179104481</v>
      </c>
    </row>
    <row r="1475" spans="2:19" x14ac:dyDescent="0.2">
      <c r="B1475" s="168">
        <f t="shared" si="123"/>
        <v>110</v>
      </c>
      <c r="C1475" s="7"/>
      <c r="D1475" s="7"/>
      <c r="E1475" s="7"/>
      <c r="F1475" s="24" t="s">
        <v>193</v>
      </c>
      <c r="G1475" s="7">
        <v>630</v>
      </c>
      <c r="H1475" s="7" t="s">
        <v>133</v>
      </c>
      <c r="I1475" s="22">
        <f>SUM(I1476:I1483)</f>
        <v>33720</v>
      </c>
      <c r="J1475" s="22">
        <f>SUM(J1476:J1483)</f>
        <v>23900</v>
      </c>
      <c r="K1475" s="218">
        <f t="shared" si="124"/>
        <v>70.877817319098455</v>
      </c>
      <c r="L1475" s="278"/>
      <c r="M1475" s="284"/>
      <c r="N1475" s="22"/>
      <c r="O1475" s="218"/>
      <c r="P1475" s="278"/>
      <c r="Q1475" s="284">
        <f t="shared" si="127"/>
        <v>33720</v>
      </c>
      <c r="R1475" s="22">
        <f t="shared" si="127"/>
        <v>23900</v>
      </c>
      <c r="S1475" s="219">
        <f t="shared" si="126"/>
        <v>70.877817319098455</v>
      </c>
    </row>
    <row r="1476" spans="2:19" x14ac:dyDescent="0.2">
      <c r="B1476" s="168">
        <f t="shared" si="123"/>
        <v>111</v>
      </c>
      <c r="C1476" s="7"/>
      <c r="D1476" s="7"/>
      <c r="E1476" s="7"/>
      <c r="F1476" s="155" t="s">
        <v>193</v>
      </c>
      <c r="G1476" s="50">
        <v>632</v>
      </c>
      <c r="H1476" s="50" t="s">
        <v>146</v>
      </c>
      <c r="I1476" s="19">
        <v>500</v>
      </c>
      <c r="J1476" s="19">
        <v>38</v>
      </c>
      <c r="K1476" s="218">
        <f t="shared" si="124"/>
        <v>7.6</v>
      </c>
      <c r="L1476" s="279"/>
      <c r="M1476" s="300"/>
      <c r="N1476" s="19"/>
      <c r="O1476" s="218"/>
      <c r="P1476" s="279"/>
      <c r="Q1476" s="300">
        <f t="shared" si="127"/>
        <v>500</v>
      </c>
      <c r="R1476" s="19">
        <f t="shared" si="127"/>
        <v>38</v>
      </c>
      <c r="S1476" s="219">
        <f t="shared" si="126"/>
        <v>7.6</v>
      </c>
    </row>
    <row r="1477" spans="2:19" x14ac:dyDescent="0.2">
      <c r="B1477" s="168">
        <f t="shared" si="123"/>
        <v>112</v>
      </c>
      <c r="C1477" s="3"/>
      <c r="D1477" s="3"/>
      <c r="E1477" s="3"/>
      <c r="F1477" s="25" t="s">
        <v>193</v>
      </c>
      <c r="G1477" s="3">
        <v>633</v>
      </c>
      <c r="H1477" s="3" t="s">
        <v>137</v>
      </c>
      <c r="I1477" s="18">
        <f>13500-350</f>
        <v>13150</v>
      </c>
      <c r="J1477" s="18">
        <v>11679</v>
      </c>
      <c r="K1477" s="218">
        <f t="shared" si="124"/>
        <v>88.813688212927758</v>
      </c>
      <c r="L1477" s="279"/>
      <c r="M1477" s="285"/>
      <c r="N1477" s="18"/>
      <c r="O1477" s="218"/>
      <c r="P1477" s="279"/>
      <c r="Q1477" s="285">
        <f t="shared" si="127"/>
        <v>13150</v>
      </c>
      <c r="R1477" s="18">
        <f t="shared" si="127"/>
        <v>11679</v>
      </c>
      <c r="S1477" s="219">
        <f t="shared" si="126"/>
        <v>88.813688212927758</v>
      </c>
    </row>
    <row r="1478" spans="2:19" x14ac:dyDescent="0.2">
      <c r="B1478" s="168">
        <f t="shared" si="123"/>
        <v>113</v>
      </c>
      <c r="C1478" s="3"/>
      <c r="D1478" s="3"/>
      <c r="E1478" s="3"/>
      <c r="F1478" s="25" t="s">
        <v>193</v>
      </c>
      <c r="G1478" s="3">
        <v>634</v>
      </c>
      <c r="H1478" s="3" t="s">
        <v>144</v>
      </c>
      <c r="I1478" s="18">
        <v>1100</v>
      </c>
      <c r="J1478" s="18">
        <v>1075</v>
      </c>
      <c r="K1478" s="218">
        <f t="shared" si="124"/>
        <v>97.727272727272734</v>
      </c>
      <c r="L1478" s="279"/>
      <c r="M1478" s="285"/>
      <c r="N1478" s="18"/>
      <c r="O1478" s="218"/>
      <c r="P1478" s="279"/>
      <c r="Q1478" s="285">
        <f t="shared" si="127"/>
        <v>1100</v>
      </c>
      <c r="R1478" s="18">
        <f t="shared" si="127"/>
        <v>1075</v>
      </c>
      <c r="S1478" s="219">
        <f t="shared" si="126"/>
        <v>97.727272727272734</v>
      </c>
    </row>
    <row r="1479" spans="2:19" x14ac:dyDescent="0.2">
      <c r="B1479" s="168">
        <f t="shared" si="123"/>
        <v>114</v>
      </c>
      <c r="C1479" s="3"/>
      <c r="D1479" s="3"/>
      <c r="E1479" s="3"/>
      <c r="F1479" s="25" t="s">
        <v>193</v>
      </c>
      <c r="G1479" s="3">
        <v>635</v>
      </c>
      <c r="H1479" s="3" t="s">
        <v>145</v>
      </c>
      <c r="I1479" s="18">
        <f>1700+1500</f>
        <v>3200</v>
      </c>
      <c r="J1479" s="18">
        <f>6340-J1480-J1481</f>
        <v>2533</v>
      </c>
      <c r="K1479" s="218">
        <f t="shared" si="124"/>
        <v>79.15625</v>
      </c>
      <c r="L1479" s="279"/>
      <c r="M1479" s="285"/>
      <c r="N1479" s="18"/>
      <c r="O1479" s="218"/>
      <c r="P1479" s="279"/>
      <c r="Q1479" s="285">
        <f t="shared" si="127"/>
        <v>3200</v>
      </c>
      <c r="R1479" s="18">
        <f t="shared" si="127"/>
        <v>2533</v>
      </c>
      <c r="S1479" s="219">
        <f t="shared" si="126"/>
        <v>79.15625</v>
      </c>
    </row>
    <row r="1480" spans="2:19" x14ac:dyDescent="0.2">
      <c r="B1480" s="168">
        <f t="shared" si="123"/>
        <v>115</v>
      </c>
      <c r="C1480" s="3"/>
      <c r="D1480" s="3"/>
      <c r="E1480" s="3"/>
      <c r="F1480" s="25" t="s">
        <v>193</v>
      </c>
      <c r="G1480" s="3">
        <v>635</v>
      </c>
      <c r="H1480" s="3" t="s">
        <v>434</v>
      </c>
      <c r="I1480" s="18">
        <v>6000</v>
      </c>
      <c r="J1480" s="18">
        <v>2314</v>
      </c>
      <c r="K1480" s="218">
        <f t="shared" si="124"/>
        <v>38.566666666666663</v>
      </c>
      <c r="L1480" s="279"/>
      <c r="M1480" s="285"/>
      <c r="N1480" s="18"/>
      <c r="O1480" s="218"/>
      <c r="P1480" s="279"/>
      <c r="Q1480" s="285">
        <f t="shared" si="127"/>
        <v>6000</v>
      </c>
      <c r="R1480" s="18">
        <f t="shared" si="127"/>
        <v>2314</v>
      </c>
      <c r="S1480" s="219">
        <f t="shared" si="126"/>
        <v>38.566666666666663</v>
      </c>
    </row>
    <row r="1481" spans="2:19" ht="24" x14ac:dyDescent="0.2">
      <c r="B1481" s="169">
        <f t="shared" si="123"/>
        <v>116</v>
      </c>
      <c r="C1481" s="46"/>
      <c r="D1481" s="46"/>
      <c r="E1481" s="46"/>
      <c r="F1481" s="149" t="s">
        <v>193</v>
      </c>
      <c r="G1481" s="46">
        <v>635</v>
      </c>
      <c r="H1481" s="150" t="s">
        <v>501</v>
      </c>
      <c r="I1481" s="49">
        <v>1500</v>
      </c>
      <c r="J1481" s="49">
        <v>1493</v>
      </c>
      <c r="K1481" s="218">
        <f t="shared" si="124"/>
        <v>99.533333333333331</v>
      </c>
      <c r="L1481" s="329"/>
      <c r="M1481" s="331"/>
      <c r="N1481" s="49"/>
      <c r="O1481" s="218"/>
      <c r="P1481" s="329"/>
      <c r="Q1481" s="331">
        <f t="shared" si="127"/>
        <v>1500</v>
      </c>
      <c r="R1481" s="49">
        <f t="shared" si="127"/>
        <v>1493</v>
      </c>
      <c r="S1481" s="219">
        <f t="shared" si="126"/>
        <v>99.533333333333331</v>
      </c>
    </row>
    <row r="1482" spans="2:19" x14ac:dyDescent="0.2">
      <c r="B1482" s="168">
        <f t="shared" si="123"/>
        <v>117</v>
      </c>
      <c r="C1482" s="3"/>
      <c r="D1482" s="3"/>
      <c r="E1482" s="3"/>
      <c r="F1482" s="25" t="s">
        <v>193</v>
      </c>
      <c r="G1482" s="3">
        <v>636</v>
      </c>
      <c r="H1482" s="3" t="s">
        <v>138</v>
      </c>
      <c r="I1482" s="18">
        <f>300+350</f>
        <v>650</v>
      </c>
      <c r="J1482" s="18">
        <v>474</v>
      </c>
      <c r="K1482" s="218">
        <f t="shared" si="124"/>
        <v>72.92307692307692</v>
      </c>
      <c r="L1482" s="279"/>
      <c r="M1482" s="285"/>
      <c r="N1482" s="18"/>
      <c r="O1482" s="218"/>
      <c r="P1482" s="279"/>
      <c r="Q1482" s="285">
        <f t="shared" si="127"/>
        <v>650</v>
      </c>
      <c r="R1482" s="18">
        <f t="shared" si="127"/>
        <v>474</v>
      </c>
      <c r="S1482" s="219">
        <f t="shared" si="126"/>
        <v>72.92307692307692</v>
      </c>
    </row>
    <row r="1483" spans="2:19" x14ac:dyDescent="0.2">
      <c r="B1483" s="168">
        <f t="shared" si="123"/>
        <v>118</v>
      </c>
      <c r="C1483" s="3"/>
      <c r="D1483" s="3"/>
      <c r="E1483" s="3"/>
      <c r="F1483" s="25" t="s">
        <v>193</v>
      </c>
      <c r="G1483" s="3">
        <v>637</v>
      </c>
      <c r="H1483" s="3" t="s">
        <v>134</v>
      </c>
      <c r="I1483" s="18">
        <v>7620</v>
      </c>
      <c r="J1483" s="18">
        <v>4294</v>
      </c>
      <c r="K1483" s="218">
        <f t="shared" si="124"/>
        <v>56.351706036745405</v>
      </c>
      <c r="L1483" s="279"/>
      <c r="M1483" s="285"/>
      <c r="N1483" s="18"/>
      <c r="O1483" s="218"/>
      <c r="P1483" s="279"/>
      <c r="Q1483" s="285">
        <f t="shared" ref="Q1483:R1487" si="128">I1483+M1483</f>
        <v>7620</v>
      </c>
      <c r="R1483" s="18">
        <f t="shared" si="128"/>
        <v>4294</v>
      </c>
      <c r="S1483" s="219">
        <f t="shared" si="126"/>
        <v>56.351706036745405</v>
      </c>
    </row>
    <row r="1484" spans="2:19" x14ac:dyDescent="0.2">
      <c r="B1484" s="168">
        <f t="shared" si="123"/>
        <v>119</v>
      </c>
      <c r="C1484" s="7"/>
      <c r="D1484" s="7"/>
      <c r="E1484" s="7"/>
      <c r="F1484" s="24" t="s">
        <v>193</v>
      </c>
      <c r="G1484" s="7">
        <v>640</v>
      </c>
      <c r="H1484" s="7" t="s">
        <v>141</v>
      </c>
      <c r="I1484" s="22">
        <v>350</v>
      </c>
      <c r="J1484" s="22">
        <v>110</v>
      </c>
      <c r="K1484" s="218">
        <f t="shared" si="124"/>
        <v>31.428571428571427</v>
      </c>
      <c r="L1484" s="278"/>
      <c r="M1484" s="284"/>
      <c r="N1484" s="22"/>
      <c r="O1484" s="218"/>
      <c r="P1484" s="278"/>
      <c r="Q1484" s="284">
        <f t="shared" si="128"/>
        <v>350</v>
      </c>
      <c r="R1484" s="22">
        <f t="shared" si="128"/>
        <v>110</v>
      </c>
      <c r="S1484" s="219">
        <f t="shared" si="126"/>
        <v>31.428571428571427</v>
      </c>
    </row>
    <row r="1485" spans="2:19" x14ac:dyDescent="0.2">
      <c r="B1485" s="168">
        <f t="shared" si="123"/>
        <v>120</v>
      </c>
      <c r="C1485" s="7"/>
      <c r="D1485" s="7"/>
      <c r="E1485" s="7"/>
      <c r="F1485" s="24" t="s">
        <v>193</v>
      </c>
      <c r="G1485" s="7">
        <v>710</v>
      </c>
      <c r="H1485" s="7" t="s">
        <v>188</v>
      </c>
      <c r="I1485" s="22"/>
      <c r="J1485" s="22"/>
      <c r="K1485" s="218"/>
      <c r="L1485" s="278"/>
      <c r="M1485" s="284">
        <f>M1486</f>
        <v>22246</v>
      </c>
      <c r="N1485" s="22">
        <f>N1486</f>
        <v>18440</v>
      </c>
      <c r="O1485" s="218">
        <f t="shared" si="125"/>
        <v>82.891306302256581</v>
      </c>
      <c r="P1485" s="278"/>
      <c r="Q1485" s="284">
        <f t="shared" si="128"/>
        <v>22246</v>
      </c>
      <c r="R1485" s="22">
        <f t="shared" si="128"/>
        <v>18440</v>
      </c>
      <c r="S1485" s="219">
        <f t="shared" si="126"/>
        <v>82.891306302256581</v>
      </c>
    </row>
    <row r="1486" spans="2:19" x14ac:dyDescent="0.2">
      <c r="B1486" s="168">
        <f t="shared" si="123"/>
        <v>121</v>
      </c>
      <c r="C1486" s="3"/>
      <c r="D1486" s="3"/>
      <c r="E1486" s="3"/>
      <c r="F1486" s="25" t="s">
        <v>193</v>
      </c>
      <c r="G1486" s="3">
        <v>717</v>
      </c>
      <c r="H1486" s="3" t="s">
        <v>198</v>
      </c>
      <c r="I1486" s="18"/>
      <c r="J1486" s="18"/>
      <c r="K1486" s="218"/>
      <c r="L1486" s="279"/>
      <c r="M1486" s="285">
        <f>M1487</f>
        <v>22246</v>
      </c>
      <c r="N1486" s="18">
        <f>N1487</f>
        <v>18440</v>
      </c>
      <c r="O1486" s="218">
        <f t="shared" si="125"/>
        <v>82.891306302256581</v>
      </c>
      <c r="P1486" s="279"/>
      <c r="Q1486" s="285">
        <f t="shared" si="128"/>
        <v>22246</v>
      </c>
      <c r="R1486" s="18">
        <f t="shared" si="128"/>
        <v>18440</v>
      </c>
      <c r="S1486" s="219">
        <f t="shared" si="126"/>
        <v>82.891306302256581</v>
      </c>
    </row>
    <row r="1487" spans="2:19" ht="13.5" thickBot="1" x14ac:dyDescent="0.25">
      <c r="B1487" s="170">
        <f>B1486+1</f>
        <v>122</v>
      </c>
      <c r="C1487" s="89"/>
      <c r="D1487" s="89"/>
      <c r="E1487" s="89"/>
      <c r="F1487" s="94"/>
      <c r="G1487" s="89"/>
      <c r="H1487" s="89" t="s">
        <v>368</v>
      </c>
      <c r="I1487" s="92"/>
      <c r="J1487" s="92"/>
      <c r="K1487" s="269"/>
      <c r="L1487" s="280"/>
      <c r="M1487" s="290">
        <f>27600-5354</f>
        <v>22246</v>
      </c>
      <c r="N1487" s="92">
        <v>18440</v>
      </c>
      <c r="O1487" s="269">
        <f t="shared" si="125"/>
        <v>82.891306302256581</v>
      </c>
      <c r="P1487" s="280"/>
      <c r="Q1487" s="290">
        <f t="shared" si="128"/>
        <v>22246</v>
      </c>
      <c r="R1487" s="92">
        <f t="shared" si="128"/>
        <v>18440</v>
      </c>
      <c r="S1487" s="259">
        <f t="shared" si="126"/>
        <v>82.891306302256581</v>
      </c>
    </row>
    <row r="1507" spans="2:19" ht="27.75" thickBot="1" x14ac:dyDescent="0.4">
      <c r="B1507" s="515" t="s">
        <v>29</v>
      </c>
      <c r="C1507" s="516"/>
      <c r="D1507" s="516"/>
      <c r="E1507" s="516"/>
      <c r="F1507" s="516"/>
      <c r="G1507" s="516"/>
      <c r="H1507" s="516"/>
      <c r="I1507" s="516"/>
      <c r="J1507" s="516"/>
      <c r="K1507" s="516"/>
      <c r="L1507" s="516"/>
      <c r="M1507" s="516"/>
      <c r="N1507" s="516"/>
      <c r="O1507" s="516"/>
      <c r="P1507" s="516"/>
      <c r="Q1507" s="516"/>
    </row>
    <row r="1508" spans="2:19" ht="13.5" thickBot="1" x14ac:dyDescent="0.25">
      <c r="B1508" s="531" t="s">
        <v>352</v>
      </c>
      <c r="C1508" s="532"/>
      <c r="D1508" s="532"/>
      <c r="E1508" s="532"/>
      <c r="F1508" s="532"/>
      <c r="G1508" s="532"/>
      <c r="H1508" s="532"/>
      <c r="I1508" s="532"/>
      <c r="J1508" s="532"/>
      <c r="K1508" s="532"/>
      <c r="L1508" s="532"/>
      <c r="M1508" s="532"/>
      <c r="N1508" s="532"/>
      <c r="O1508" s="533"/>
      <c r="P1508" s="422"/>
      <c r="Q1508" s="534" t="s">
        <v>662</v>
      </c>
      <c r="R1508" s="496" t="s">
        <v>668</v>
      </c>
      <c r="S1508" s="536" t="s">
        <v>663</v>
      </c>
    </row>
    <row r="1509" spans="2:19" x14ac:dyDescent="0.2">
      <c r="B1509" s="523"/>
      <c r="C1509" s="526" t="s">
        <v>126</v>
      </c>
      <c r="D1509" s="526" t="s">
        <v>127</v>
      </c>
      <c r="E1509" s="526"/>
      <c r="F1509" s="526" t="s">
        <v>128</v>
      </c>
      <c r="G1509" s="507" t="s">
        <v>129</v>
      </c>
      <c r="H1509" s="510" t="s">
        <v>130</v>
      </c>
      <c r="I1509" s="497" t="s">
        <v>664</v>
      </c>
      <c r="J1509" s="497" t="s">
        <v>666</v>
      </c>
      <c r="K1509" s="500" t="s">
        <v>663</v>
      </c>
      <c r="L1509" s="423"/>
      <c r="M1509" s="512" t="s">
        <v>665</v>
      </c>
      <c r="N1509" s="496" t="s">
        <v>667</v>
      </c>
      <c r="O1509" s="499" t="s">
        <v>663</v>
      </c>
      <c r="P1509" s="423"/>
      <c r="Q1509" s="535"/>
      <c r="R1509" s="497"/>
      <c r="S1509" s="537"/>
    </row>
    <row r="1510" spans="2:19" x14ac:dyDescent="0.2">
      <c r="B1510" s="523"/>
      <c r="C1510" s="526"/>
      <c r="D1510" s="526"/>
      <c r="E1510" s="526"/>
      <c r="F1510" s="526"/>
      <c r="G1510" s="507"/>
      <c r="H1510" s="510"/>
      <c r="I1510" s="497"/>
      <c r="J1510" s="497"/>
      <c r="K1510" s="500"/>
      <c r="L1510" s="423"/>
      <c r="M1510" s="513"/>
      <c r="N1510" s="497"/>
      <c r="O1510" s="500"/>
      <c r="P1510" s="423"/>
      <c r="Q1510" s="535"/>
      <c r="R1510" s="497"/>
      <c r="S1510" s="537"/>
    </row>
    <row r="1511" spans="2:19" x14ac:dyDescent="0.2">
      <c r="B1511" s="523"/>
      <c r="C1511" s="526"/>
      <c r="D1511" s="526"/>
      <c r="E1511" s="526"/>
      <c r="F1511" s="526"/>
      <c r="G1511" s="507"/>
      <c r="H1511" s="510"/>
      <c r="I1511" s="497"/>
      <c r="J1511" s="497"/>
      <c r="K1511" s="500"/>
      <c r="L1511" s="423"/>
      <c r="M1511" s="513"/>
      <c r="N1511" s="497"/>
      <c r="O1511" s="500"/>
      <c r="P1511" s="423"/>
      <c r="Q1511" s="535"/>
      <c r="R1511" s="497"/>
      <c r="S1511" s="537"/>
    </row>
    <row r="1512" spans="2:19" ht="13.5" thickBot="1" x14ac:dyDescent="0.25">
      <c r="B1512" s="524"/>
      <c r="C1512" s="527"/>
      <c r="D1512" s="527"/>
      <c r="E1512" s="527"/>
      <c r="F1512" s="527"/>
      <c r="G1512" s="508"/>
      <c r="H1512" s="511"/>
      <c r="I1512" s="498"/>
      <c r="J1512" s="498"/>
      <c r="K1512" s="501"/>
      <c r="L1512" s="423"/>
      <c r="M1512" s="514"/>
      <c r="N1512" s="498"/>
      <c r="O1512" s="501"/>
      <c r="P1512" s="423"/>
      <c r="Q1512" s="535"/>
      <c r="R1512" s="498"/>
      <c r="S1512" s="538"/>
    </row>
    <row r="1513" spans="2:19" ht="16.5" thickTop="1" x14ac:dyDescent="0.2">
      <c r="B1513" s="168">
        <f t="shared" ref="B1513:B1559" si="129">B1512+1</f>
        <v>1</v>
      </c>
      <c r="C1513" s="502" t="s">
        <v>29</v>
      </c>
      <c r="D1513" s="503"/>
      <c r="E1513" s="503"/>
      <c r="F1513" s="503"/>
      <c r="G1513" s="503"/>
      <c r="H1513" s="504"/>
      <c r="I1513" s="34">
        <f>I1557+I1541+I1536+I1514</f>
        <v>551620</v>
      </c>
      <c r="J1513" s="34">
        <f>J1557+J1541+J1536+J1514</f>
        <v>497718</v>
      </c>
      <c r="K1513" s="218">
        <f t="shared" ref="K1513:K1556" si="130">J1513/I1513*100</f>
        <v>90.228418113919005</v>
      </c>
      <c r="L1513" s="288"/>
      <c r="M1513" s="281">
        <f>M1514+M1536+M1541+M1557</f>
        <v>67320</v>
      </c>
      <c r="N1513" s="34">
        <f>N1514+N1536+N1541+N1557</f>
        <v>18311</v>
      </c>
      <c r="O1513" s="218">
        <f t="shared" ref="O1513:O1559" si="131">N1513/M1513*100</f>
        <v>27.199940582293525</v>
      </c>
      <c r="P1513" s="288"/>
      <c r="Q1513" s="302">
        <f t="shared" ref="Q1513:R1559" si="132">I1513+M1513</f>
        <v>618940</v>
      </c>
      <c r="R1513" s="34">
        <f t="shared" si="132"/>
        <v>516029</v>
      </c>
      <c r="S1513" s="312">
        <f t="shared" ref="S1513:S1559" si="133">R1513/Q1513*100</f>
        <v>83.373024848935273</v>
      </c>
    </row>
    <row r="1514" spans="2:19" ht="15" x14ac:dyDescent="0.2">
      <c r="B1514" s="168">
        <f t="shared" si="129"/>
        <v>2</v>
      </c>
      <c r="C1514" s="430">
        <v>1</v>
      </c>
      <c r="D1514" s="505" t="s">
        <v>242</v>
      </c>
      <c r="E1514" s="494"/>
      <c r="F1514" s="494"/>
      <c r="G1514" s="494"/>
      <c r="H1514" s="495"/>
      <c r="I1514" s="35">
        <f>I1515</f>
        <v>196000</v>
      </c>
      <c r="J1514" s="35">
        <f>J1515</f>
        <v>194414</v>
      </c>
      <c r="K1514" s="218">
        <f t="shared" si="130"/>
        <v>99.190816326530623</v>
      </c>
      <c r="L1514" s="276"/>
      <c r="M1514" s="282">
        <v>0</v>
      </c>
      <c r="N1514" s="35"/>
      <c r="O1514" s="218"/>
      <c r="P1514" s="276"/>
      <c r="Q1514" s="303">
        <f t="shared" si="132"/>
        <v>196000</v>
      </c>
      <c r="R1514" s="35">
        <f t="shared" si="132"/>
        <v>194414</v>
      </c>
      <c r="S1514" s="312">
        <f t="shared" si="133"/>
        <v>99.190816326530623</v>
      </c>
    </row>
    <row r="1515" spans="2:19" x14ac:dyDescent="0.2">
      <c r="B1515" s="168">
        <f t="shared" si="129"/>
        <v>3</v>
      </c>
      <c r="C1515" s="7"/>
      <c r="D1515" s="7"/>
      <c r="E1515" s="7"/>
      <c r="F1515" s="24" t="s">
        <v>82</v>
      </c>
      <c r="G1515" s="7">
        <v>640</v>
      </c>
      <c r="H1515" s="7" t="s">
        <v>141</v>
      </c>
      <c r="I1515" s="22">
        <f>SUM(I1516:I1535)</f>
        <v>196000</v>
      </c>
      <c r="J1515" s="22">
        <f>SUM(J1516:J1535)</f>
        <v>194414</v>
      </c>
      <c r="K1515" s="218">
        <f t="shared" si="130"/>
        <v>99.190816326530623</v>
      </c>
      <c r="L1515" s="278"/>
      <c r="M1515" s="284"/>
      <c r="N1515" s="212"/>
      <c r="O1515" s="218"/>
      <c r="P1515" s="278"/>
      <c r="Q1515" s="304">
        <f t="shared" si="132"/>
        <v>196000</v>
      </c>
      <c r="R1515" s="22">
        <f t="shared" si="132"/>
        <v>194414</v>
      </c>
      <c r="S1515" s="312">
        <f t="shared" si="133"/>
        <v>99.190816326530623</v>
      </c>
    </row>
    <row r="1516" spans="2:19" x14ac:dyDescent="0.2">
      <c r="B1516" s="168">
        <f t="shared" si="129"/>
        <v>4</v>
      </c>
      <c r="C1516" s="4"/>
      <c r="D1516" s="4"/>
      <c r="E1516" s="4"/>
      <c r="F1516" s="26"/>
      <c r="G1516" s="4"/>
      <c r="H1516" s="4" t="s">
        <v>340</v>
      </c>
      <c r="I1516" s="20">
        <f>5000+5000</f>
        <v>10000</v>
      </c>
      <c r="J1516" s="20">
        <v>10000</v>
      </c>
      <c r="K1516" s="218">
        <f t="shared" si="130"/>
        <v>100</v>
      </c>
      <c r="L1516" s="280"/>
      <c r="M1516" s="286"/>
      <c r="N1516" s="214"/>
      <c r="O1516" s="218"/>
      <c r="P1516" s="280"/>
      <c r="Q1516" s="307">
        <f t="shared" si="132"/>
        <v>10000</v>
      </c>
      <c r="R1516" s="20">
        <f t="shared" si="132"/>
        <v>10000</v>
      </c>
      <c r="S1516" s="312">
        <f t="shared" si="133"/>
        <v>100</v>
      </c>
    </row>
    <row r="1517" spans="2:19" x14ac:dyDescent="0.2">
      <c r="B1517" s="168">
        <f t="shared" si="129"/>
        <v>5</v>
      </c>
      <c r="C1517" s="4"/>
      <c r="D1517" s="4"/>
      <c r="E1517" s="4"/>
      <c r="F1517" s="26"/>
      <c r="G1517" s="4"/>
      <c r="H1517" s="4" t="s">
        <v>341</v>
      </c>
      <c r="I1517" s="20">
        <v>5000</v>
      </c>
      <c r="J1517" s="20">
        <v>5000</v>
      </c>
      <c r="K1517" s="218">
        <f t="shared" si="130"/>
        <v>100</v>
      </c>
      <c r="L1517" s="280"/>
      <c r="M1517" s="286"/>
      <c r="N1517" s="214"/>
      <c r="O1517" s="218"/>
      <c r="P1517" s="280"/>
      <c r="Q1517" s="307">
        <f t="shared" si="132"/>
        <v>5000</v>
      </c>
      <c r="R1517" s="20">
        <f t="shared" si="132"/>
        <v>5000</v>
      </c>
      <c r="S1517" s="312">
        <f t="shared" si="133"/>
        <v>100</v>
      </c>
    </row>
    <row r="1518" spans="2:19" ht="33.75" x14ac:dyDescent="0.2">
      <c r="B1518" s="168">
        <f t="shared" si="129"/>
        <v>6</v>
      </c>
      <c r="C1518" s="134"/>
      <c r="D1518" s="134"/>
      <c r="E1518" s="134"/>
      <c r="F1518" s="135"/>
      <c r="G1518" s="134"/>
      <c r="H1518" s="153" t="s">
        <v>487</v>
      </c>
      <c r="I1518" s="136">
        <v>6000</v>
      </c>
      <c r="J1518" s="136">
        <v>6000</v>
      </c>
      <c r="K1518" s="218">
        <f t="shared" si="130"/>
        <v>100</v>
      </c>
      <c r="L1518" s="296"/>
      <c r="M1518" s="301"/>
      <c r="N1518" s="220"/>
      <c r="O1518" s="218"/>
      <c r="P1518" s="296"/>
      <c r="Q1518" s="353">
        <f t="shared" si="132"/>
        <v>6000</v>
      </c>
      <c r="R1518" s="136">
        <f t="shared" si="132"/>
        <v>6000</v>
      </c>
      <c r="S1518" s="312">
        <f t="shared" si="133"/>
        <v>100</v>
      </c>
    </row>
    <row r="1519" spans="2:19" x14ac:dyDescent="0.2">
      <c r="B1519" s="168">
        <f t="shared" si="129"/>
        <v>7</v>
      </c>
      <c r="C1519" s="4"/>
      <c r="D1519" s="4"/>
      <c r="E1519" s="4"/>
      <c r="F1519" s="26"/>
      <c r="G1519" s="4"/>
      <c r="H1519" s="4" t="s">
        <v>342</v>
      </c>
      <c r="I1519" s="20">
        <v>4000</v>
      </c>
      <c r="J1519" s="20">
        <v>4000</v>
      </c>
      <c r="K1519" s="218">
        <f t="shared" si="130"/>
        <v>100</v>
      </c>
      <c r="L1519" s="280"/>
      <c r="M1519" s="286"/>
      <c r="N1519" s="214"/>
      <c r="O1519" s="218"/>
      <c r="P1519" s="280"/>
      <c r="Q1519" s="307">
        <f t="shared" si="132"/>
        <v>4000</v>
      </c>
      <c r="R1519" s="20">
        <f t="shared" si="132"/>
        <v>4000</v>
      </c>
      <c r="S1519" s="312">
        <f t="shared" si="133"/>
        <v>100</v>
      </c>
    </row>
    <row r="1520" spans="2:19" x14ac:dyDescent="0.2">
      <c r="B1520" s="168">
        <f t="shared" si="129"/>
        <v>8</v>
      </c>
      <c r="C1520" s="4"/>
      <c r="D1520" s="4"/>
      <c r="E1520" s="4"/>
      <c r="F1520" s="26"/>
      <c r="G1520" s="4"/>
      <c r="H1520" s="4" t="s">
        <v>428</v>
      </c>
      <c r="I1520" s="20">
        <v>4000</v>
      </c>
      <c r="J1520" s="20">
        <v>4000</v>
      </c>
      <c r="K1520" s="218">
        <f t="shared" si="130"/>
        <v>100</v>
      </c>
      <c r="L1520" s="280"/>
      <c r="M1520" s="286"/>
      <c r="N1520" s="214"/>
      <c r="O1520" s="218"/>
      <c r="P1520" s="280"/>
      <c r="Q1520" s="307">
        <f t="shared" si="132"/>
        <v>4000</v>
      </c>
      <c r="R1520" s="20">
        <f t="shared" si="132"/>
        <v>4000</v>
      </c>
      <c r="S1520" s="312">
        <f t="shared" si="133"/>
        <v>100</v>
      </c>
    </row>
    <row r="1521" spans="2:19" x14ac:dyDescent="0.2">
      <c r="B1521" s="168">
        <f t="shared" si="129"/>
        <v>9</v>
      </c>
      <c r="C1521" s="4"/>
      <c r="D1521" s="4"/>
      <c r="E1521" s="4"/>
      <c r="F1521" s="26"/>
      <c r="G1521" s="4"/>
      <c r="H1521" s="4" t="s">
        <v>590</v>
      </c>
      <c r="I1521" s="20">
        <v>15000</v>
      </c>
      <c r="J1521" s="20">
        <v>15000</v>
      </c>
      <c r="K1521" s="218">
        <f t="shared" si="130"/>
        <v>100</v>
      </c>
      <c r="L1521" s="280"/>
      <c r="M1521" s="286"/>
      <c r="N1521" s="214"/>
      <c r="O1521" s="218"/>
      <c r="P1521" s="280"/>
      <c r="Q1521" s="307">
        <f t="shared" si="132"/>
        <v>15000</v>
      </c>
      <c r="R1521" s="20">
        <f t="shared" si="132"/>
        <v>15000</v>
      </c>
      <c r="S1521" s="312">
        <f t="shared" si="133"/>
        <v>100</v>
      </c>
    </row>
    <row r="1522" spans="2:19" x14ac:dyDescent="0.2">
      <c r="B1522" s="168">
        <f t="shared" si="129"/>
        <v>10</v>
      </c>
      <c r="C1522" s="4"/>
      <c r="D1522" s="4"/>
      <c r="E1522" s="4"/>
      <c r="F1522" s="26"/>
      <c r="G1522" s="4"/>
      <c r="H1522" s="4" t="s">
        <v>292</v>
      </c>
      <c r="I1522" s="20">
        <f>50000-1500+2000+26600-3000-3000</f>
        <v>71100</v>
      </c>
      <c r="J1522" s="20">
        <v>71014</v>
      </c>
      <c r="K1522" s="218">
        <f t="shared" si="130"/>
        <v>99.879043600562596</v>
      </c>
      <c r="L1522" s="280"/>
      <c r="M1522" s="286"/>
      <c r="N1522" s="214"/>
      <c r="O1522" s="218"/>
      <c r="P1522" s="280"/>
      <c r="Q1522" s="307">
        <f t="shared" si="132"/>
        <v>71100</v>
      </c>
      <c r="R1522" s="20">
        <f t="shared" si="132"/>
        <v>71014</v>
      </c>
      <c r="S1522" s="312">
        <f t="shared" si="133"/>
        <v>99.879043600562596</v>
      </c>
    </row>
    <row r="1523" spans="2:19" x14ac:dyDescent="0.2">
      <c r="B1523" s="168">
        <f t="shared" si="129"/>
        <v>11</v>
      </c>
      <c r="C1523" s="4"/>
      <c r="D1523" s="4"/>
      <c r="E1523" s="4"/>
      <c r="F1523" s="26"/>
      <c r="G1523" s="4"/>
      <c r="H1523" s="4" t="s">
        <v>338</v>
      </c>
      <c r="I1523" s="20">
        <v>20000</v>
      </c>
      <c r="J1523" s="20">
        <v>20000</v>
      </c>
      <c r="K1523" s="218">
        <f t="shared" si="130"/>
        <v>100</v>
      </c>
      <c r="L1523" s="280"/>
      <c r="M1523" s="286"/>
      <c r="N1523" s="214"/>
      <c r="O1523" s="218"/>
      <c r="P1523" s="280"/>
      <c r="Q1523" s="307">
        <f t="shared" si="132"/>
        <v>20000</v>
      </c>
      <c r="R1523" s="20">
        <f t="shared" si="132"/>
        <v>20000</v>
      </c>
      <c r="S1523" s="312">
        <f t="shared" si="133"/>
        <v>100</v>
      </c>
    </row>
    <row r="1524" spans="2:19" x14ac:dyDescent="0.2">
      <c r="B1524" s="168">
        <f t="shared" si="129"/>
        <v>12</v>
      </c>
      <c r="C1524" s="4"/>
      <c r="D1524" s="4"/>
      <c r="E1524" s="4"/>
      <c r="F1524" s="26"/>
      <c r="G1524" s="4"/>
      <c r="H1524" s="4" t="s">
        <v>481</v>
      </c>
      <c r="I1524" s="20">
        <v>20000</v>
      </c>
      <c r="J1524" s="20">
        <v>20000</v>
      </c>
      <c r="K1524" s="218">
        <f t="shared" si="130"/>
        <v>100</v>
      </c>
      <c r="L1524" s="280"/>
      <c r="M1524" s="286"/>
      <c r="N1524" s="214"/>
      <c r="O1524" s="218"/>
      <c r="P1524" s="280"/>
      <c r="Q1524" s="307">
        <f t="shared" si="132"/>
        <v>20000</v>
      </c>
      <c r="R1524" s="20">
        <f t="shared" si="132"/>
        <v>20000</v>
      </c>
      <c r="S1524" s="312">
        <f t="shared" si="133"/>
        <v>100</v>
      </c>
    </row>
    <row r="1525" spans="2:19" x14ac:dyDescent="0.2">
      <c r="B1525" s="168">
        <f t="shared" si="129"/>
        <v>13</v>
      </c>
      <c r="C1525" s="4"/>
      <c r="D1525" s="4"/>
      <c r="E1525" s="4"/>
      <c r="F1525" s="26"/>
      <c r="G1525" s="4"/>
      <c r="H1525" s="13" t="s">
        <v>547</v>
      </c>
      <c r="I1525" s="20">
        <v>1000</v>
      </c>
      <c r="J1525" s="20">
        <v>1000</v>
      </c>
      <c r="K1525" s="218">
        <f t="shared" si="130"/>
        <v>100</v>
      </c>
      <c r="L1525" s="280"/>
      <c r="M1525" s="286"/>
      <c r="N1525" s="214"/>
      <c r="O1525" s="218"/>
      <c r="P1525" s="280"/>
      <c r="Q1525" s="307">
        <f t="shared" si="132"/>
        <v>1000</v>
      </c>
      <c r="R1525" s="20">
        <f t="shared" si="132"/>
        <v>1000</v>
      </c>
      <c r="S1525" s="312">
        <f t="shared" si="133"/>
        <v>100</v>
      </c>
    </row>
    <row r="1526" spans="2:19" x14ac:dyDescent="0.2">
      <c r="B1526" s="168">
        <f t="shared" si="129"/>
        <v>14</v>
      </c>
      <c r="C1526" s="4"/>
      <c r="D1526" s="4"/>
      <c r="E1526" s="4"/>
      <c r="F1526" s="26"/>
      <c r="G1526" s="4"/>
      <c r="H1526" s="13" t="s">
        <v>558</v>
      </c>
      <c r="I1526" s="20">
        <v>4500</v>
      </c>
      <c r="J1526" s="20">
        <v>4500</v>
      </c>
      <c r="K1526" s="218">
        <f t="shared" si="130"/>
        <v>100</v>
      </c>
      <c r="L1526" s="280"/>
      <c r="M1526" s="286"/>
      <c r="N1526" s="214"/>
      <c r="O1526" s="218"/>
      <c r="P1526" s="280"/>
      <c r="Q1526" s="307">
        <f t="shared" si="132"/>
        <v>4500</v>
      </c>
      <c r="R1526" s="20">
        <f t="shared" si="132"/>
        <v>4500</v>
      </c>
      <c r="S1526" s="312">
        <f t="shared" si="133"/>
        <v>100</v>
      </c>
    </row>
    <row r="1527" spans="2:19" ht="22.5" x14ac:dyDescent="0.2">
      <c r="B1527" s="168">
        <f t="shared" si="129"/>
        <v>15</v>
      </c>
      <c r="C1527" s="134"/>
      <c r="D1527" s="134"/>
      <c r="E1527" s="134"/>
      <c r="F1527" s="135"/>
      <c r="G1527" s="134"/>
      <c r="H1527" s="138" t="s">
        <v>559</v>
      </c>
      <c r="I1527" s="136">
        <f>4000+1500</f>
        <v>5500</v>
      </c>
      <c r="J1527" s="136">
        <v>4000</v>
      </c>
      <c r="K1527" s="218">
        <f t="shared" si="130"/>
        <v>72.727272727272734</v>
      </c>
      <c r="L1527" s="296"/>
      <c r="M1527" s="301"/>
      <c r="N1527" s="220"/>
      <c r="O1527" s="218"/>
      <c r="P1527" s="296"/>
      <c r="Q1527" s="353">
        <f t="shared" si="132"/>
        <v>5500</v>
      </c>
      <c r="R1527" s="136">
        <f t="shared" si="132"/>
        <v>4000</v>
      </c>
      <c r="S1527" s="312">
        <f t="shared" si="133"/>
        <v>72.727272727272734</v>
      </c>
    </row>
    <row r="1528" spans="2:19" x14ac:dyDescent="0.2">
      <c r="B1528" s="168">
        <f t="shared" si="129"/>
        <v>16</v>
      </c>
      <c r="C1528" s="4"/>
      <c r="D1528" s="4"/>
      <c r="E1528" s="4"/>
      <c r="F1528" s="26"/>
      <c r="G1528" s="4"/>
      <c r="H1528" s="13" t="s">
        <v>560</v>
      </c>
      <c r="I1528" s="20">
        <v>3900</v>
      </c>
      <c r="J1528" s="20">
        <v>3900</v>
      </c>
      <c r="K1528" s="218">
        <f t="shared" si="130"/>
        <v>100</v>
      </c>
      <c r="L1528" s="280"/>
      <c r="M1528" s="286"/>
      <c r="N1528" s="214"/>
      <c r="O1528" s="218"/>
      <c r="P1528" s="280"/>
      <c r="Q1528" s="307">
        <f t="shared" si="132"/>
        <v>3900</v>
      </c>
      <c r="R1528" s="20">
        <f t="shared" si="132"/>
        <v>3900</v>
      </c>
      <c r="S1528" s="312">
        <f t="shared" si="133"/>
        <v>100</v>
      </c>
    </row>
    <row r="1529" spans="2:19" ht="22.5" x14ac:dyDescent="0.2">
      <c r="B1529" s="168">
        <f t="shared" si="129"/>
        <v>17</v>
      </c>
      <c r="C1529" s="134"/>
      <c r="D1529" s="134"/>
      <c r="E1529" s="134"/>
      <c r="F1529" s="135"/>
      <c r="G1529" s="134"/>
      <c r="H1529" s="138" t="s">
        <v>561</v>
      </c>
      <c r="I1529" s="136">
        <v>4000</v>
      </c>
      <c r="J1529" s="136">
        <v>4000</v>
      </c>
      <c r="K1529" s="218">
        <f t="shared" si="130"/>
        <v>100</v>
      </c>
      <c r="L1529" s="296"/>
      <c r="M1529" s="301"/>
      <c r="N1529" s="220"/>
      <c r="O1529" s="218"/>
      <c r="P1529" s="296"/>
      <c r="Q1529" s="353">
        <f t="shared" si="132"/>
        <v>4000</v>
      </c>
      <c r="R1529" s="136">
        <f t="shared" si="132"/>
        <v>4000</v>
      </c>
      <c r="S1529" s="312">
        <f t="shared" si="133"/>
        <v>100</v>
      </c>
    </row>
    <row r="1530" spans="2:19" x14ac:dyDescent="0.2">
      <c r="B1530" s="168">
        <f t="shared" si="129"/>
        <v>18</v>
      </c>
      <c r="C1530" s="134"/>
      <c r="D1530" s="134"/>
      <c r="E1530" s="134"/>
      <c r="F1530" s="135"/>
      <c r="G1530" s="134"/>
      <c r="H1530" s="138" t="s">
        <v>593</v>
      </c>
      <c r="I1530" s="136">
        <v>4000</v>
      </c>
      <c r="J1530" s="136">
        <v>4000</v>
      </c>
      <c r="K1530" s="218">
        <f t="shared" si="130"/>
        <v>100</v>
      </c>
      <c r="L1530" s="296"/>
      <c r="M1530" s="301"/>
      <c r="N1530" s="220"/>
      <c r="O1530" s="218"/>
      <c r="P1530" s="296"/>
      <c r="Q1530" s="353">
        <f t="shared" si="132"/>
        <v>4000</v>
      </c>
      <c r="R1530" s="136">
        <f t="shared" si="132"/>
        <v>4000</v>
      </c>
      <c r="S1530" s="312">
        <f t="shared" si="133"/>
        <v>100</v>
      </c>
    </row>
    <row r="1531" spans="2:19" ht="22.5" x14ac:dyDescent="0.2">
      <c r="B1531" s="168">
        <f t="shared" si="129"/>
        <v>19</v>
      </c>
      <c r="C1531" s="134"/>
      <c r="D1531" s="134"/>
      <c r="E1531" s="134"/>
      <c r="F1531" s="135"/>
      <c r="G1531" s="134"/>
      <c r="H1531" s="138" t="s">
        <v>606</v>
      </c>
      <c r="I1531" s="136">
        <v>7000</v>
      </c>
      <c r="J1531" s="136">
        <v>7000</v>
      </c>
      <c r="K1531" s="218">
        <f t="shared" si="130"/>
        <v>100</v>
      </c>
      <c r="L1531" s="296"/>
      <c r="M1531" s="301"/>
      <c r="N1531" s="220"/>
      <c r="O1531" s="218"/>
      <c r="P1531" s="296"/>
      <c r="Q1531" s="353">
        <f t="shared" si="132"/>
        <v>7000</v>
      </c>
      <c r="R1531" s="136">
        <f t="shared" si="132"/>
        <v>7000</v>
      </c>
      <c r="S1531" s="312">
        <f t="shared" si="133"/>
        <v>100</v>
      </c>
    </row>
    <row r="1532" spans="2:19" ht="22.5" x14ac:dyDescent="0.2">
      <c r="B1532" s="168">
        <f t="shared" si="129"/>
        <v>20</v>
      </c>
      <c r="C1532" s="134"/>
      <c r="D1532" s="134"/>
      <c r="E1532" s="134"/>
      <c r="F1532" s="135"/>
      <c r="G1532" s="134"/>
      <c r="H1532" s="138" t="s">
        <v>607</v>
      </c>
      <c r="I1532" s="136">
        <v>7000</v>
      </c>
      <c r="J1532" s="136">
        <v>7000</v>
      </c>
      <c r="K1532" s="218">
        <f t="shared" si="130"/>
        <v>100</v>
      </c>
      <c r="L1532" s="296"/>
      <c r="M1532" s="301"/>
      <c r="N1532" s="220"/>
      <c r="O1532" s="218"/>
      <c r="P1532" s="296"/>
      <c r="Q1532" s="353">
        <f t="shared" si="132"/>
        <v>7000</v>
      </c>
      <c r="R1532" s="136">
        <f t="shared" si="132"/>
        <v>7000</v>
      </c>
      <c r="S1532" s="312">
        <f t="shared" si="133"/>
        <v>100</v>
      </c>
    </row>
    <row r="1533" spans="2:19" x14ac:dyDescent="0.2">
      <c r="B1533" s="168">
        <f t="shared" si="129"/>
        <v>21</v>
      </c>
      <c r="C1533" s="134"/>
      <c r="D1533" s="134"/>
      <c r="E1533" s="134"/>
      <c r="F1533" s="135"/>
      <c r="G1533" s="134"/>
      <c r="H1533" s="138" t="s">
        <v>619</v>
      </c>
      <c r="I1533" s="136">
        <v>1500</v>
      </c>
      <c r="J1533" s="136">
        <v>1500</v>
      </c>
      <c r="K1533" s="218">
        <f t="shared" si="130"/>
        <v>100</v>
      </c>
      <c r="L1533" s="296"/>
      <c r="M1533" s="301"/>
      <c r="N1533" s="220"/>
      <c r="O1533" s="218"/>
      <c r="P1533" s="296"/>
      <c r="Q1533" s="353">
        <f t="shared" si="132"/>
        <v>1500</v>
      </c>
      <c r="R1533" s="136">
        <f t="shared" si="132"/>
        <v>1500</v>
      </c>
      <c r="S1533" s="312">
        <f t="shared" si="133"/>
        <v>100</v>
      </c>
    </row>
    <row r="1534" spans="2:19" ht="22.5" x14ac:dyDescent="0.2">
      <c r="B1534" s="168">
        <f t="shared" si="129"/>
        <v>22</v>
      </c>
      <c r="C1534" s="134"/>
      <c r="D1534" s="134"/>
      <c r="E1534" s="134"/>
      <c r="F1534" s="135"/>
      <c r="G1534" s="134"/>
      <c r="H1534" s="138" t="s">
        <v>621</v>
      </c>
      <c r="I1534" s="136">
        <v>1500</v>
      </c>
      <c r="J1534" s="136">
        <v>1500</v>
      </c>
      <c r="K1534" s="218">
        <f t="shared" si="130"/>
        <v>100</v>
      </c>
      <c r="L1534" s="296"/>
      <c r="M1534" s="301"/>
      <c r="N1534" s="220"/>
      <c r="O1534" s="218"/>
      <c r="P1534" s="296"/>
      <c r="Q1534" s="353">
        <f t="shared" si="132"/>
        <v>1500</v>
      </c>
      <c r="R1534" s="136">
        <f t="shared" si="132"/>
        <v>1500</v>
      </c>
      <c r="S1534" s="312">
        <f t="shared" si="133"/>
        <v>100</v>
      </c>
    </row>
    <row r="1535" spans="2:19" x14ac:dyDescent="0.2">
      <c r="B1535" s="168">
        <f t="shared" si="129"/>
        <v>23</v>
      </c>
      <c r="C1535" s="134"/>
      <c r="D1535" s="134"/>
      <c r="E1535" s="134"/>
      <c r="F1535" s="135"/>
      <c r="G1535" s="134"/>
      <c r="H1535" s="138" t="s">
        <v>649</v>
      </c>
      <c r="I1535" s="136">
        <v>1000</v>
      </c>
      <c r="J1535" s="136">
        <v>1000</v>
      </c>
      <c r="K1535" s="218">
        <f t="shared" si="130"/>
        <v>100</v>
      </c>
      <c r="L1535" s="296"/>
      <c r="M1535" s="301"/>
      <c r="N1535" s="220"/>
      <c r="O1535" s="218"/>
      <c r="P1535" s="296"/>
      <c r="Q1535" s="353">
        <f t="shared" si="132"/>
        <v>1000</v>
      </c>
      <c r="R1535" s="136">
        <f t="shared" si="132"/>
        <v>1000</v>
      </c>
      <c r="S1535" s="312">
        <f t="shared" si="133"/>
        <v>100</v>
      </c>
    </row>
    <row r="1536" spans="2:19" ht="15" x14ac:dyDescent="0.2">
      <c r="B1536" s="168">
        <f t="shared" si="129"/>
        <v>24</v>
      </c>
      <c r="C1536" s="430">
        <v>2</v>
      </c>
      <c r="D1536" s="505" t="s">
        <v>185</v>
      </c>
      <c r="E1536" s="494"/>
      <c r="F1536" s="494"/>
      <c r="G1536" s="494"/>
      <c r="H1536" s="495"/>
      <c r="I1536" s="35">
        <f>I1537</f>
        <v>173600</v>
      </c>
      <c r="J1536" s="35">
        <f>J1537</f>
        <v>165290</v>
      </c>
      <c r="K1536" s="218">
        <f t="shared" si="130"/>
        <v>95.213133640552996</v>
      </c>
      <c r="L1536" s="276"/>
      <c r="M1536" s="282">
        <v>0</v>
      </c>
      <c r="N1536" s="35">
        <v>0</v>
      </c>
      <c r="O1536" s="218"/>
      <c r="P1536" s="276"/>
      <c r="Q1536" s="303">
        <f t="shared" si="132"/>
        <v>173600</v>
      </c>
      <c r="R1536" s="35">
        <f t="shared" si="132"/>
        <v>165290</v>
      </c>
      <c r="S1536" s="312">
        <f t="shared" si="133"/>
        <v>95.213133640552996</v>
      </c>
    </row>
    <row r="1537" spans="2:19" x14ac:dyDescent="0.2">
      <c r="B1537" s="168">
        <f t="shared" si="129"/>
        <v>25</v>
      </c>
      <c r="C1537" s="7"/>
      <c r="D1537" s="7"/>
      <c r="E1537" s="7"/>
      <c r="F1537" s="24" t="s">
        <v>82</v>
      </c>
      <c r="G1537" s="7">
        <v>630</v>
      </c>
      <c r="H1537" s="7" t="s">
        <v>133</v>
      </c>
      <c r="I1537" s="22">
        <f>I1540+I1539+I1538</f>
        <v>173600</v>
      </c>
      <c r="J1537" s="22">
        <f>J1540+J1539+J1538</f>
        <v>165290</v>
      </c>
      <c r="K1537" s="218">
        <f t="shared" si="130"/>
        <v>95.213133640552996</v>
      </c>
      <c r="L1537" s="278"/>
      <c r="M1537" s="284"/>
      <c r="N1537" s="212"/>
      <c r="O1537" s="218"/>
      <c r="P1537" s="278"/>
      <c r="Q1537" s="304">
        <f t="shared" si="132"/>
        <v>173600</v>
      </c>
      <c r="R1537" s="22">
        <f t="shared" si="132"/>
        <v>165290</v>
      </c>
      <c r="S1537" s="312">
        <f t="shared" si="133"/>
        <v>95.213133640552996</v>
      </c>
    </row>
    <row r="1538" spans="2:19" x14ac:dyDescent="0.2">
      <c r="B1538" s="168">
        <f t="shared" si="129"/>
        <v>26</v>
      </c>
      <c r="C1538" s="3"/>
      <c r="D1538" s="3"/>
      <c r="E1538" s="3"/>
      <c r="F1538" s="25" t="s">
        <v>82</v>
      </c>
      <c r="G1538" s="3">
        <v>633</v>
      </c>
      <c r="H1538" s="3" t="s">
        <v>137</v>
      </c>
      <c r="I1538" s="18">
        <f>3600+3300</f>
        <v>6900</v>
      </c>
      <c r="J1538" s="18">
        <v>6518</v>
      </c>
      <c r="K1538" s="218">
        <f t="shared" si="130"/>
        <v>94.463768115942031</v>
      </c>
      <c r="L1538" s="279"/>
      <c r="M1538" s="285"/>
      <c r="N1538" s="213"/>
      <c r="O1538" s="218"/>
      <c r="P1538" s="279"/>
      <c r="Q1538" s="305">
        <f t="shared" si="132"/>
        <v>6900</v>
      </c>
      <c r="R1538" s="18">
        <f t="shared" si="132"/>
        <v>6518</v>
      </c>
      <c r="S1538" s="312">
        <f t="shared" si="133"/>
        <v>94.463768115942031</v>
      </c>
    </row>
    <row r="1539" spans="2:19" x14ac:dyDescent="0.2">
      <c r="B1539" s="168">
        <f t="shared" si="129"/>
        <v>27</v>
      </c>
      <c r="C1539" s="3"/>
      <c r="D1539" s="3"/>
      <c r="E1539" s="3"/>
      <c r="F1539" s="25" t="s">
        <v>82</v>
      </c>
      <c r="G1539" s="3">
        <v>636</v>
      </c>
      <c r="H1539" s="3" t="s">
        <v>138</v>
      </c>
      <c r="I1539" s="18">
        <f>1000+15000-4700</f>
        <v>11300</v>
      </c>
      <c r="J1539" s="18">
        <v>11298</v>
      </c>
      <c r="K1539" s="218">
        <f t="shared" si="130"/>
        <v>99.982300884955748</v>
      </c>
      <c r="L1539" s="279"/>
      <c r="M1539" s="285"/>
      <c r="N1539" s="213"/>
      <c r="O1539" s="218"/>
      <c r="P1539" s="279"/>
      <c r="Q1539" s="305">
        <f t="shared" si="132"/>
        <v>11300</v>
      </c>
      <c r="R1539" s="18">
        <f t="shared" si="132"/>
        <v>11298</v>
      </c>
      <c r="S1539" s="312">
        <f t="shared" si="133"/>
        <v>99.982300884955748</v>
      </c>
    </row>
    <row r="1540" spans="2:19" x14ac:dyDescent="0.2">
      <c r="B1540" s="168">
        <f t="shared" si="129"/>
        <v>28</v>
      </c>
      <c r="C1540" s="3"/>
      <c r="D1540" s="3"/>
      <c r="E1540" s="3"/>
      <c r="F1540" s="25" t="s">
        <v>82</v>
      </c>
      <c r="G1540" s="3">
        <v>637</v>
      </c>
      <c r="H1540" s="3" t="s">
        <v>134</v>
      </c>
      <c r="I1540" s="18">
        <f>147000-15000+18200+500+4700</f>
        <v>155400</v>
      </c>
      <c r="J1540" s="18">
        <v>147474</v>
      </c>
      <c r="K1540" s="218">
        <f t="shared" si="130"/>
        <v>94.899613899613897</v>
      </c>
      <c r="L1540" s="279"/>
      <c r="M1540" s="285"/>
      <c r="N1540" s="213"/>
      <c r="O1540" s="218"/>
      <c r="P1540" s="279"/>
      <c r="Q1540" s="305">
        <f t="shared" si="132"/>
        <v>155400</v>
      </c>
      <c r="R1540" s="18">
        <f t="shared" si="132"/>
        <v>147474</v>
      </c>
      <c r="S1540" s="312">
        <f t="shared" si="133"/>
        <v>94.899613899613897</v>
      </c>
    </row>
    <row r="1541" spans="2:19" ht="15" x14ac:dyDescent="0.2">
      <c r="B1541" s="168">
        <f t="shared" si="129"/>
        <v>29</v>
      </c>
      <c r="C1541" s="430">
        <v>3</v>
      </c>
      <c r="D1541" s="505" t="s">
        <v>149</v>
      </c>
      <c r="E1541" s="494"/>
      <c r="F1541" s="494"/>
      <c r="G1541" s="494"/>
      <c r="H1541" s="495"/>
      <c r="I1541" s="35">
        <f>I1542+I1543+I1548+I1554</f>
        <v>182020</v>
      </c>
      <c r="J1541" s="35">
        <f>J1542+J1543+J1548+J1554</f>
        <v>138014</v>
      </c>
      <c r="K1541" s="218">
        <f t="shared" si="130"/>
        <v>75.82353587517855</v>
      </c>
      <c r="L1541" s="276"/>
      <c r="M1541" s="282">
        <f>M1548</f>
        <v>49000</v>
      </c>
      <c r="N1541" s="35">
        <f>N1548</f>
        <v>0</v>
      </c>
      <c r="O1541" s="218">
        <f t="shared" si="131"/>
        <v>0</v>
      </c>
      <c r="P1541" s="276"/>
      <c r="Q1541" s="303">
        <f t="shared" si="132"/>
        <v>231020</v>
      </c>
      <c r="R1541" s="35">
        <f t="shared" si="132"/>
        <v>138014</v>
      </c>
      <c r="S1541" s="312">
        <f t="shared" si="133"/>
        <v>59.741147952558215</v>
      </c>
    </row>
    <row r="1542" spans="2:19" x14ac:dyDescent="0.2">
      <c r="B1542" s="168">
        <f t="shared" si="129"/>
        <v>30</v>
      </c>
      <c r="C1542" s="7"/>
      <c r="D1542" s="7"/>
      <c r="E1542" s="7"/>
      <c r="F1542" s="24" t="s">
        <v>82</v>
      </c>
      <c r="G1542" s="7">
        <v>620</v>
      </c>
      <c r="H1542" s="7" t="s">
        <v>136</v>
      </c>
      <c r="I1542" s="22">
        <f>3050+450</f>
        <v>3500</v>
      </c>
      <c r="J1542" s="22">
        <v>3455</v>
      </c>
      <c r="K1542" s="218">
        <f t="shared" si="130"/>
        <v>98.714285714285708</v>
      </c>
      <c r="L1542" s="278"/>
      <c r="M1542" s="284"/>
      <c r="N1542" s="22"/>
      <c r="O1542" s="218"/>
      <c r="P1542" s="278"/>
      <c r="Q1542" s="304">
        <f t="shared" si="132"/>
        <v>3500</v>
      </c>
      <c r="R1542" s="22">
        <f t="shared" si="132"/>
        <v>3455</v>
      </c>
      <c r="S1542" s="312">
        <f t="shared" si="133"/>
        <v>98.714285714285708</v>
      </c>
    </row>
    <row r="1543" spans="2:19" x14ac:dyDescent="0.2">
      <c r="B1543" s="168">
        <f t="shared" si="129"/>
        <v>31</v>
      </c>
      <c r="C1543" s="7"/>
      <c r="D1543" s="7"/>
      <c r="E1543" s="7"/>
      <c r="F1543" s="24" t="s">
        <v>82</v>
      </c>
      <c r="G1543" s="7">
        <v>630</v>
      </c>
      <c r="H1543" s="7" t="s">
        <v>133</v>
      </c>
      <c r="I1543" s="22">
        <f>I1547+I1546+I1545+I1544</f>
        <v>164520</v>
      </c>
      <c r="J1543" s="22">
        <f>J1547+J1546+J1545+J1544</f>
        <v>121264</v>
      </c>
      <c r="K1543" s="218">
        <f t="shared" si="130"/>
        <v>73.707755895939712</v>
      </c>
      <c r="L1543" s="278"/>
      <c r="M1543" s="284"/>
      <c r="N1543" s="22"/>
      <c r="O1543" s="218"/>
      <c r="P1543" s="278"/>
      <c r="Q1543" s="304">
        <f t="shared" si="132"/>
        <v>164520</v>
      </c>
      <c r="R1543" s="22">
        <f t="shared" si="132"/>
        <v>121264</v>
      </c>
      <c r="S1543" s="312">
        <f t="shared" si="133"/>
        <v>73.707755895939712</v>
      </c>
    </row>
    <row r="1544" spans="2:19" x14ac:dyDescent="0.2">
      <c r="B1544" s="168">
        <f t="shared" si="129"/>
        <v>32</v>
      </c>
      <c r="C1544" s="3"/>
      <c r="D1544" s="3"/>
      <c r="E1544" s="3"/>
      <c r="F1544" s="25" t="s">
        <v>82</v>
      </c>
      <c r="G1544" s="3">
        <v>632</v>
      </c>
      <c r="H1544" s="3" t="s">
        <v>146</v>
      </c>
      <c r="I1544" s="18">
        <f>9300+121000-5000</f>
        <v>125300</v>
      </c>
      <c r="J1544" s="18">
        <v>84535</v>
      </c>
      <c r="K1544" s="218">
        <f t="shared" si="130"/>
        <v>67.466081404628881</v>
      </c>
      <c r="L1544" s="279"/>
      <c r="M1544" s="285"/>
      <c r="N1544" s="18"/>
      <c r="O1544" s="218"/>
      <c r="P1544" s="279"/>
      <c r="Q1544" s="305">
        <f t="shared" si="132"/>
        <v>125300</v>
      </c>
      <c r="R1544" s="18">
        <f t="shared" si="132"/>
        <v>84535</v>
      </c>
      <c r="S1544" s="312">
        <f t="shared" si="133"/>
        <v>67.466081404628881</v>
      </c>
    </row>
    <row r="1545" spans="2:19" x14ac:dyDescent="0.2">
      <c r="B1545" s="168">
        <f t="shared" si="129"/>
        <v>33</v>
      </c>
      <c r="C1545" s="3"/>
      <c r="D1545" s="3"/>
      <c r="E1545" s="3"/>
      <c r="F1545" s="25" t="s">
        <v>82</v>
      </c>
      <c r="G1545" s="3">
        <v>633</v>
      </c>
      <c r="H1545" s="3" t="s">
        <v>137</v>
      </c>
      <c r="I1545" s="18">
        <f>5500+3500+3200</f>
        <v>12200</v>
      </c>
      <c r="J1545" s="18">
        <v>11967</v>
      </c>
      <c r="K1545" s="218">
        <f t="shared" si="130"/>
        <v>98.090163934426229</v>
      </c>
      <c r="L1545" s="279"/>
      <c r="M1545" s="285"/>
      <c r="N1545" s="18"/>
      <c r="O1545" s="218"/>
      <c r="P1545" s="279"/>
      <c r="Q1545" s="305">
        <f t="shared" si="132"/>
        <v>12200</v>
      </c>
      <c r="R1545" s="18">
        <f t="shared" si="132"/>
        <v>11967</v>
      </c>
      <c r="S1545" s="312">
        <f t="shared" si="133"/>
        <v>98.090163934426229</v>
      </c>
    </row>
    <row r="1546" spans="2:19" x14ac:dyDescent="0.2">
      <c r="B1546" s="168">
        <f t="shared" si="129"/>
        <v>34</v>
      </c>
      <c r="C1546" s="3"/>
      <c r="D1546" s="3"/>
      <c r="E1546" s="3"/>
      <c r="F1546" s="25" t="s">
        <v>82</v>
      </c>
      <c r="G1546" s="3">
        <v>635</v>
      </c>
      <c r="H1546" s="3" t="s">
        <v>145</v>
      </c>
      <c r="I1546" s="18">
        <v>8000</v>
      </c>
      <c r="J1546" s="18">
        <v>5998</v>
      </c>
      <c r="K1546" s="218">
        <f t="shared" si="130"/>
        <v>74.975000000000009</v>
      </c>
      <c r="L1546" s="279"/>
      <c r="M1546" s="285"/>
      <c r="N1546" s="18"/>
      <c r="O1546" s="218"/>
      <c r="P1546" s="279"/>
      <c r="Q1546" s="305">
        <f t="shared" si="132"/>
        <v>8000</v>
      </c>
      <c r="R1546" s="18">
        <f t="shared" si="132"/>
        <v>5998</v>
      </c>
      <c r="S1546" s="312">
        <f t="shared" si="133"/>
        <v>74.975000000000009</v>
      </c>
    </row>
    <row r="1547" spans="2:19" x14ac:dyDescent="0.2">
      <c r="B1547" s="168">
        <f t="shared" si="129"/>
        <v>35</v>
      </c>
      <c r="C1547" s="3"/>
      <c r="D1547" s="3"/>
      <c r="E1547" s="3"/>
      <c r="F1547" s="25" t="s">
        <v>82</v>
      </c>
      <c r="G1547" s="3">
        <v>637</v>
      </c>
      <c r="H1547" s="3" t="s">
        <v>134</v>
      </c>
      <c r="I1547" s="18">
        <f>14470+5000-450</f>
        <v>19020</v>
      </c>
      <c r="J1547" s="18">
        <v>18764</v>
      </c>
      <c r="K1547" s="218">
        <f t="shared" si="130"/>
        <v>98.654048370136692</v>
      </c>
      <c r="L1547" s="279"/>
      <c r="M1547" s="285"/>
      <c r="N1547" s="18"/>
      <c r="O1547" s="218"/>
      <c r="P1547" s="279"/>
      <c r="Q1547" s="305">
        <f t="shared" si="132"/>
        <v>19020</v>
      </c>
      <c r="R1547" s="18">
        <f t="shared" si="132"/>
        <v>18764</v>
      </c>
      <c r="S1547" s="312">
        <f t="shared" si="133"/>
        <v>98.654048370136692</v>
      </c>
    </row>
    <row r="1548" spans="2:19" x14ac:dyDescent="0.2">
      <c r="B1548" s="168">
        <f t="shared" si="129"/>
        <v>36</v>
      </c>
      <c r="C1548" s="7"/>
      <c r="D1548" s="7"/>
      <c r="E1548" s="7"/>
      <c r="F1548" s="24" t="s">
        <v>82</v>
      </c>
      <c r="G1548" s="7">
        <v>710</v>
      </c>
      <c r="H1548" s="7" t="s">
        <v>188</v>
      </c>
      <c r="I1548" s="22"/>
      <c r="J1548" s="22"/>
      <c r="K1548" s="218"/>
      <c r="L1548" s="278"/>
      <c r="M1548" s="284">
        <f>M1551+M1550</f>
        <v>49000</v>
      </c>
      <c r="N1548" s="22">
        <f>N1551+N1550</f>
        <v>0</v>
      </c>
      <c r="O1548" s="218">
        <v>0</v>
      </c>
      <c r="P1548" s="278"/>
      <c r="Q1548" s="304">
        <f t="shared" si="132"/>
        <v>49000</v>
      </c>
      <c r="R1548" s="22">
        <f t="shared" si="132"/>
        <v>0</v>
      </c>
      <c r="S1548" s="312">
        <f t="shared" si="133"/>
        <v>0</v>
      </c>
    </row>
    <row r="1549" spans="2:19" x14ac:dyDescent="0.2">
      <c r="B1549" s="168">
        <f t="shared" si="129"/>
        <v>37</v>
      </c>
      <c r="C1549" s="7"/>
      <c r="D1549" s="7"/>
      <c r="E1549" s="7"/>
      <c r="F1549" s="155" t="s">
        <v>82</v>
      </c>
      <c r="G1549" s="50">
        <v>716</v>
      </c>
      <c r="H1549" s="3" t="s">
        <v>231</v>
      </c>
      <c r="I1549" s="22"/>
      <c r="J1549" s="22"/>
      <c r="K1549" s="218"/>
      <c r="L1549" s="278"/>
      <c r="M1549" s="300">
        <f>M1550</f>
        <v>24000</v>
      </c>
      <c r="N1549" s="19">
        <f>N1550</f>
        <v>0</v>
      </c>
      <c r="O1549" s="218">
        <v>0</v>
      </c>
      <c r="P1549" s="279"/>
      <c r="Q1549" s="309">
        <f t="shared" si="132"/>
        <v>24000</v>
      </c>
      <c r="R1549" s="19">
        <f t="shared" si="132"/>
        <v>0</v>
      </c>
      <c r="S1549" s="312">
        <f t="shared" si="133"/>
        <v>0</v>
      </c>
    </row>
    <row r="1550" spans="2:19" x14ac:dyDescent="0.2">
      <c r="B1550" s="168">
        <f t="shared" si="129"/>
        <v>38</v>
      </c>
      <c r="C1550" s="7"/>
      <c r="D1550" s="7"/>
      <c r="E1550" s="7"/>
      <c r="F1550" s="155"/>
      <c r="G1550" s="50"/>
      <c r="H1550" s="44" t="s">
        <v>549</v>
      </c>
      <c r="I1550" s="148"/>
      <c r="J1550" s="148"/>
      <c r="K1550" s="218"/>
      <c r="L1550" s="328"/>
      <c r="M1550" s="298">
        <v>24000</v>
      </c>
      <c r="N1550" s="21"/>
      <c r="O1550" s="426">
        <f t="shared" si="131"/>
        <v>0</v>
      </c>
      <c r="P1550" s="280"/>
      <c r="Q1550" s="428">
        <f>M1550</f>
        <v>24000</v>
      </c>
      <c r="R1550" s="21">
        <f>N1550</f>
        <v>0</v>
      </c>
      <c r="S1550" s="427">
        <f t="shared" si="133"/>
        <v>0</v>
      </c>
    </row>
    <row r="1551" spans="2:19" x14ac:dyDescent="0.2">
      <c r="B1551" s="168">
        <f t="shared" si="129"/>
        <v>39</v>
      </c>
      <c r="C1551" s="3"/>
      <c r="D1551" s="3"/>
      <c r="E1551" s="3"/>
      <c r="F1551" s="25" t="s">
        <v>82</v>
      </c>
      <c r="G1551" s="3">
        <v>717</v>
      </c>
      <c r="H1551" s="3" t="s">
        <v>198</v>
      </c>
      <c r="I1551" s="18"/>
      <c r="J1551" s="18"/>
      <c r="K1551" s="218"/>
      <c r="L1551" s="279"/>
      <c r="M1551" s="285">
        <f>M1552+M1553</f>
        <v>25000</v>
      </c>
      <c r="N1551" s="18">
        <f>N1552+N1553</f>
        <v>0</v>
      </c>
      <c r="O1551" s="218">
        <f t="shared" si="131"/>
        <v>0</v>
      </c>
      <c r="P1551" s="279"/>
      <c r="Q1551" s="305">
        <f t="shared" si="132"/>
        <v>25000</v>
      </c>
      <c r="R1551" s="18">
        <f t="shared" si="132"/>
        <v>0</v>
      </c>
      <c r="S1551" s="312">
        <f t="shared" si="133"/>
        <v>0</v>
      </c>
    </row>
    <row r="1552" spans="2:19" x14ac:dyDescent="0.2">
      <c r="B1552" s="168">
        <f t="shared" si="129"/>
        <v>40</v>
      </c>
      <c r="C1552" s="4"/>
      <c r="D1552" s="4"/>
      <c r="E1552" s="4"/>
      <c r="F1552" s="26"/>
      <c r="G1552" s="4"/>
      <c r="H1552" s="4" t="s">
        <v>339</v>
      </c>
      <c r="I1552" s="20"/>
      <c r="J1552" s="20"/>
      <c r="K1552" s="218"/>
      <c r="L1552" s="280"/>
      <c r="M1552" s="286">
        <f>19000-9000</f>
        <v>10000</v>
      </c>
      <c r="N1552" s="20"/>
      <c r="O1552" s="218">
        <f t="shared" si="131"/>
        <v>0</v>
      </c>
      <c r="P1552" s="280"/>
      <c r="Q1552" s="307">
        <f t="shared" si="132"/>
        <v>10000</v>
      </c>
      <c r="R1552" s="20">
        <f t="shared" si="132"/>
        <v>0</v>
      </c>
      <c r="S1552" s="312">
        <f t="shared" si="133"/>
        <v>0</v>
      </c>
    </row>
    <row r="1553" spans="2:19" x14ac:dyDescent="0.2">
      <c r="B1553" s="168">
        <f t="shared" si="129"/>
        <v>41</v>
      </c>
      <c r="C1553" s="4"/>
      <c r="D1553" s="4"/>
      <c r="E1553" s="4"/>
      <c r="F1553" s="26"/>
      <c r="G1553" s="4"/>
      <c r="H1553" s="4" t="s">
        <v>518</v>
      </c>
      <c r="I1553" s="20"/>
      <c r="J1553" s="20"/>
      <c r="K1553" s="218"/>
      <c r="L1553" s="280"/>
      <c r="M1553" s="286">
        <v>15000</v>
      </c>
      <c r="N1553" s="20"/>
      <c r="O1553" s="218">
        <f t="shared" si="131"/>
        <v>0</v>
      </c>
      <c r="P1553" s="280"/>
      <c r="Q1553" s="307">
        <f t="shared" si="132"/>
        <v>15000</v>
      </c>
      <c r="R1553" s="20">
        <f t="shared" si="132"/>
        <v>0</v>
      </c>
      <c r="S1553" s="312">
        <f t="shared" si="133"/>
        <v>0</v>
      </c>
    </row>
    <row r="1554" spans="2:19" ht="15" x14ac:dyDescent="0.25">
      <c r="B1554" s="168">
        <f t="shared" si="129"/>
        <v>42</v>
      </c>
      <c r="C1554" s="10"/>
      <c r="D1554" s="10"/>
      <c r="E1554" s="10">
        <v>2</v>
      </c>
      <c r="F1554" s="27"/>
      <c r="G1554" s="10"/>
      <c r="H1554" s="10" t="s">
        <v>401</v>
      </c>
      <c r="I1554" s="37">
        <f>I1555</f>
        <v>14000</v>
      </c>
      <c r="J1554" s="37">
        <f>J1555</f>
        <v>13295</v>
      </c>
      <c r="K1554" s="218">
        <f t="shared" si="130"/>
        <v>94.964285714285708</v>
      </c>
      <c r="L1554" s="295"/>
      <c r="M1554" s="299">
        <v>0</v>
      </c>
      <c r="N1554" s="37">
        <v>0</v>
      </c>
      <c r="O1554" s="218"/>
      <c r="P1554" s="295"/>
      <c r="Q1554" s="308">
        <f t="shared" si="132"/>
        <v>14000</v>
      </c>
      <c r="R1554" s="37">
        <f t="shared" si="132"/>
        <v>13295</v>
      </c>
      <c r="S1554" s="312">
        <f t="shared" si="133"/>
        <v>94.964285714285708</v>
      </c>
    </row>
    <row r="1555" spans="2:19" x14ac:dyDescent="0.2">
      <c r="B1555" s="168">
        <f t="shared" si="129"/>
        <v>43</v>
      </c>
      <c r="C1555" s="7"/>
      <c r="D1555" s="7"/>
      <c r="E1555" s="7"/>
      <c r="F1555" s="24" t="s">
        <v>82</v>
      </c>
      <c r="G1555" s="7">
        <v>630</v>
      </c>
      <c r="H1555" s="7" t="s">
        <v>133</v>
      </c>
      <c r="I1555" s="22">
        <f>I1556</f>
        <v>14000</v>
      </c>
      <c r="J1555" s="22">
        <f>J1556</f>
        <v>13295</v>
      </c>
      <c r="K1555" s="218">
        <f t="shared" si="130"/>
        <v>94.964285714285708</v>
      </c>
      <c r="L1555" s="278"/>
      <c r="M1555" s="284"/>
      <c r="N1555" s="22"/>
      <c r="O1555" s="218"/>
      <c r="P1555" s="278"/>
      <c r="Q1555" s="304">
        <f t="shared" si="132"/>
        <v>14000</v>
      </c>
      <c r="R1555" s="22">
        <f t="shared" si="132"/>
        <v>13295</v>
      </c>
      <c r="S1555" s="312">
        <f t="shared" si="133"/>
        <v>94.964285714285708</v>
      </c>
    </row>
    <row r="1556" spans="2:19" x14ac:dyDescent="0.2">
      <c r="B1556" s="168">
        <f t="shared" si="129"/>
        <v>44</v>
      </c>
      <c r="C1556" s="3"/>
      <c r="D1556" s="3"/>
      <c r="E1556" s="3"/>
      <c r="F1556" s="25" t="s">
        <v>82</v>
      </c>
      <c r="G1556" s="3">
        <v>632</v>
      </c>
      <c r="H1556" s="3" t="s">
        <v>146</v>
      </c>
      <c r="I1556" s="18">
        <v>14000</v>
      </c>
      <c r="J1556" s="18">
        <v>13295</v>
      </c>
      <c r="K1556" s="218">
        <f t="shared" si="130"/>
        <v>94.964285714285708</v>
      </c>
      <c r="L1556" s="279"/>
      <c r="M1556" s="285"/>
      <c r="N1556" s="18"/>
      <c r="O1556" s="218"/>
      <c r="P1556" s="279"/>
      <c r="Q1556" s="305">
        <f t="shared" si="132"/>
        <v>14000</v>
      </c>
      <c r="R1556" s="18">
        <f t="shared" si="132"/>
        <v>13295</v>
      </c>
      <c r="S1556" s="312">
        <f t="shared" si="133"/>
        <v>94.964285714285708</v>
      </c>
    </row>
    <row r="1557" spans="2:19" ht="15" x14ac:dyDescent="0.2">
      <c r="B1557" s="168">
        <f t="shared" si="129"/>
        <v>45</v>
      </c>
      <c r="C1557" s="430">
        <v>4</v>
      </c>
      <c r="D1557" s="505" t="s">
        <v>5</v>
      </c>
      <c r="E1557" s="494"/>
      <c r="F1557" s="494"/>
      <c r="G1557" s="494"/>
      <c r="H1557" s="495"/>
      <c r="I1557" s="35">
        <v>0</v>
      </c>
      <c r="J1557" s="35">
        <v>0</v>
      </c>
      <c r="K1557" s="218"/>
      <c r="L1557" s="276"/>
      <c r="M1557" s="282">
        <f>M1558</f>
        <v>18320</v>
      </c>
      <c r="N1557" s="35">
        <f>N1558</f>
        <v>18311</v>
      </c>
      <c r="O1557" s="218">
        <f t="shared" si="131"/>
        <v>99.950873362445407</v>
      </c>
      <c r="P1557" s="276"/>
      <c r="Q1557" s="303">
        <f t="shared" si="132"/>
        <v>18320</v>
      </c>
      <c r="R1557" s="35">
        <f t="shared" si="132"/>
        <v>18311</v>
      </c>
      <c r="S1557" s="312">
        <f t="shared" si="133"/>
        <v>99.950873362445407</v>
      </c>
    </row>
    <row r="1558" spans="2:19" x14ac:dyDescent="0.2">
      <c r="B1558" s="168">
        <f t="shared" si="129"/>
        <v>46</v>
      </c>
      <c r="C1558" s="7"/>
      <c r="D1558" s="7"/>
      <c r="E1558" s="7"/>
      <c r="F1558" s="24" t="s">
        <v>82</v>
      </c>
      <c r="G1558" s="7">
        <v>710</v>
      </c>
      <c r="H1558" s="7" t="s">
        <v>188</v>
      </c>
      <c r="I1558" s="22"/>
      <c r="J1558" s="22"/>
      <c r="K1558" s="218"/>
      <c r="L1558" s="278"/>
      <c r="M1558" s="284">
        <f>M1559</f>
        <v>18320</v>
      </c>
      <c r="N1558" s="22">
        <f>N1559</f>
        <v>18311</v>
      </c>
      <c r="O1558" s="218">
        <f t="shared" si="131"/>
        <v>99.950873362445407</v>
      </c>
      <c r="P1558" s="278"/>
      <c r="Q1558" s="304">
        <f t="shared" si="132"/>
        <v>18320</v>
      </c>
      <c r="R1558" s="22">
        <f t="shared" si="132"/>
        <v>18311</v>
      </c>
      <c r="S1558" s="312">
        <f t="shared" si="133"/>
        <v>99.950873362445407</v>
      </c>
    </row>
    <row r="1559" spans="2:19" ht="13.5" thickBot="1" x14ac:dyDescent="0.25">
      <c r="B1559" s="168">
        <f t="shared" si="129"/>
        <v>47</v>
      </c>
      <c r="C1559" s="14"/>
      <c r="D1559" s="14"/>
      <c r="E1559" s="14"/>
      <c r="F1559" s="84" t="s">
        <v>82</v>
      </c>
      <c r="G1559" s="14">
        <v>717</v>
      </c>
      <c r="H1559" s="14" t="s">
        <v>198</v>
      </c>
      <c r="I1559" s="23"/>
      <c r="J1559" s="23"/>
      <c r="K1559" s="269"/>
      <c r="L1559" s="279"/>
      <c r="M1559" s="320">
        <v>18320</v>
      </c>
      <c r="N1559" s="23">
        <v>18311</v>
      </c>
      <c r="O1559" s="269">
        <f t="shared" si="131"/>
        <v>99.950873362445407</v>
      </c>
      <c r="P1559" s="279"/>
      <c r="Q1559" s="354">
        <f t="shared" si="132"/>
        <v>18320</v>
      </c>
      <c r="R1559" s="23">
        <f t="shared" si="132"/>
        <v>18311</v>
      </c>
      <c r="S1559" s="313">
        <f t="shared" si="133"/>
        <v>99.950873362445407</v>
      </c>
    </row>
    <row r="1606" spans="2:19" ht="27.75" thickBot="1" x14ac:dyDescent="0.4">
      <c r="B1606" s="515" t="s">
        <v>30</v>
      </c>
      <c r="C1606" s="516"/>
      <c r="D1606" s="516"/>
      <c r="E1606" s="516"/>
      <c r="F1606" s="516"/>
      <c r="G1606" s="516"/>
      <c r="H1606" s="516"/>
      <c r="I1606" s="516"/>
      <c r="J1606" s="516"/>
      <c r="K1606" s="516"/>
      <c r="L1606" s="516"/>
      <c r="M1606" s="516"/>
      <c r="N1606" s="516"/>
      <c r="O1606" s="516"/>
      <c r="P1606" s="516"/>
      <c r="Q1606" s="516"/>
    </row>
    <row r="1607" spans="2:19" ht="13.5" thickBot="1" x14ac:dyDescent="0.25">
      <c r="B1607" s="531" t="s">
        <v>352</v>
      </c>
      <c r="C1607" s="532"/>
      <c r="D1607" s="532"/>
      <c r="E1607" s="532"/>
      <c r="F1607" s="532"/>
      <c r="G1607" s="532"/>
      <c r="H1607" s="532"/>
      <c r="I1607" s="532"/>
      <c r="J1607" s="532"/>
      <c r="K1607" s="532"/>
      <c r="L1607" s="532"/>
      <c r="M1607" s="532"/>
      <c r="N1607" s="532"/>
      <c r="O1607" s="533"/>
      <c r="P1607" s="422"/>
      <c r="Q1607" s="520" t="s">
        <v>662</v>
      </c>
      <c r="R1607" s="496" t="s">
        <v>668</v>
      </c>
      <c r="S1607" s="499" t="s">
        <v>663</v>
      </c>
    </row>
    <row r="1608" spans="2:19" x14ac:dyDescent="0.2">
      <c r="B1608" s="522"/>
      <c r="C1608" s="525" t="s">
        <v>126</v>
      </c>
      <c r="D1608" s="525" t="s">
        <v>127</v>
      </c>
      <c r="E1608" s="525"/>
      <c r="F1608" s="525" t="s">
        <v>128</v>
      </c>
      <c r="G1608" s="506" t="s">
        <v>129</v>
      </c>
      <c r="H1608" s="509" t="s">
        <v>130</v>
      </c>
      <c r="I1608" s="496" t="s">
        <v>664</v>
      </c>
      <c r="J1608" s="496" t="s">
        <v>666</v>
      </c>
      <c r="K1608" s="499" t="s">
        <v>663</v>
      </c>
      <c r="L1608" s="423"/>
      <c r="M1608" s="512" t="s">
        <v>665</v>
      </c>
      <c r="N1608" s="496" t="s">
        <v>667</v>
      </c>
      <c r="O1608" s="499" t="s">
        <v>663</v>
      </c>
      <c r="P1608" s="423"/>
      <c r="Q1608" s="521"/>
      <c r="R1608" s="497"/>
      <c r="S1608" s="500"/>
    </row>
    <row r="1609" spans="2:19" x14ac:dyDescent="0.2">
      <c r="B1609" s="523"/>
      <c r="C1609" s="526"/>
      <c r="D1609" s="526"/>
      <c r="E1609" s="526"/>
      <c r="F1609" s="526"/>
      <c r="G1609" s="507"/>
      <c r="H1609" s="510"/>
      <c r="I1609" s="497"/>
      <c r="J1609" s="497"/>
      <c r="K1609" s="500"/>
      <c r="L1609" s="423"/>
      <c r="M1609" s="513"/>
      <c r="N1609" s="497"/>
      <c r="O1609" s="500"/>
      <c r="P1609" s="423"/>
      <c r="Q1609" s="521"/>
      <c r="R1609" s="497"/>
      <c r="S1609" s="500"/>
    </row>
    <row r="1610" spans="2:19" x14ac:dyDescent="0.2">
      <c r="B1610" s="523"/>
      <c r="C1610" s="526"/>
      <c r="D1610" s="526"/>
      <c r="E1610" s="526"/>
      <c r="F1610" s="526"/>
      <c r="G1610" s="507"/>
      <c r="H1610" s="510"/>
      <c r="I1610" s="497"/>
      <c r="J1610" s="497"/>
      <c r="K1610" s="500"/>
      <c r="L1610" s="423"/>
      <c r="M1610" s="513"/>
      <c r="N1610" s="497"/>
      <c r="O1610" s="500"/>
      <c r="P1610" s="423"/>
      <c r="Q1610" s="521"/>
      <c r="R1610" s="497"/>
      <c r="S1610" s="500"/>
    </row>
    <row r="1611" spans="2:19" ht="13.5" thickBot="1" x14ac:dyDescent="0.25">
      <c r="B1611" s="524"/>
      <c r="C1611" s="527"/>
      <c r="D1611" s="527"/>
      <c r="E1611" s="527"/>
      <c r="F1611" s="527"/>
      <c r="G1611" s="508"/>
      <c r="H1611" s="511"/>
      <c r="I1611" s="498"/>
      <c r="J1611" s="498"/>
      <c r="K1611" s="501"/>
      <c r="L1611" s="423"/>
      <c r="M1611" s="514"/>
      <c r="N1611" s="498"/>
      <c r="O1611" s="501"/>
      <c r="P1611" s="423"/>
      <c r="Q1611" s="521"/>
      <c r="R1611" s="498"/>
      <c r="S1611" s="501"/>
    </row>
    <row r="1612" spans="2:19" ht="16.5" thickTop="1" x14ac:dyDescent="0.2">
      <c r="B1612" s="78">
        <f t="shared" ref="B1612:B1675" si="134">B1611+1</f>
        <v>1</v>
      </c>
      <c r="C1612" s="502" t="s">
        <v>30</v>
      </c>
      <c r="D1612" s="503"/>
      <c r="E1612" s="503"/>
      <c r="F1612" s="503"/>
      <c r="G1612" s="503"/>
      <c r="H1612" s="504"/>
      <c r="I1612" s="34">
        <f>I1710+I1703+I1699+I1674+I1653+I1613</f>
        <v>4122905</v>
      </c>
      <c r="J1612" s="34">
        <f>J1710+J1703+J1699+J1674+J1653+J1613</f>
        <v>3901716</v>
      </c>
      <c r="K1612" s="218">
        <f t="shared" ref="K1612:K1670" si="135">J1612/I1612*100</f>
        <v>94.635117714330065</v>
      </c>
      <c r="L1612" s="288"/>
      <c r="M1612" s="281">
        <f>M1613+M1653+M1674+M1699+M1703+M1710</f>
        <v>1178161</v>
      </c>
      <c r="N1612" s="34">
        <f>N1613+N1653+N1674+N1699+N1703+N1710</f>
        <v>880706</v>
      </c>
      <c r="O1612" s="218">
        <f t="shared" ref="O1612:O1674" si="136">N1612/M1612*100</f>
        <v>74.752601724212568</v>
      </c>
      <c r="P1612" s="288"/>
      <c r="Q1612" s="281">
        <f t="shared" ref="Q1612:R1647" si="137">I1612+M1612</f>
        <v>5301066</v>
      </c>
      <c r="R1612" s="34">
        <f t="shared" si="137"/>
        <v>4782422</v>
      </c>
      <c r="S1612" s="219">
        <f t="shared" ref="S1612:S1675" si="138">R1612/Q1612*100</f>
        <v>90.216231980511083</v>
      </c>
    </row>
    <row r="1613" spans="2:19" ht="15" x14ac:dyDescent="0.2">
      <c r="B1613" s="78">
        <f t="shared" si="134"/>
        <v>2</v>
      </c>
      <c r="C1613" s="430">
        <v>1</v>
      </c>
      <c r="D1613" s="505" t="s">
        <v>208</v>
      </c>
      <c r="E1613" s="494"/>
      <c r="F1613" s="494"/>
      <c r="G1613" s="494"/>
      <c r="H1613" s="495"/>
      <c r="I1613" s="35">
        <f>I1614+I1617+I1624</f>
        <v>1234050</v>
      </c>
      <c r="J1613" s="35">
        <f>J1614+J1617+J1624</f>
        <v>1100408</v>
      </c>
      <c r="K1613" s="218">
        <f t="shared" si="135"/>
        <v>89.170455005874956</v>
      </c>
      <c r="L1613" s="276"/>
      <c r="M1613" s="282">
        <f>M1617+M1624</f>
        <v>473581</v>
      </c>
      <c r="N1613" s="35">
        <f>N1617+N1624</f>
        <v>431868</v>
      </c>
      <c r="O1613" s="218">
        <f t="shared" si="136"/>
        <v>91.192003057555098</v>
      </c>
      <c r="P1613" s="276"/>
      <c r="Q1613" s="282">
        <f t="shared" si="137"/>
        <v>1707631</v>
      </c>
      <c r="R1613" s="35">
        <f t="shared" si="137"/>
        <v>1532276</v>
      </c>
      <c r="S1613" s="219">
        <f t="shared" si="138"/>
        <v>89.731095301034003</v>
      </c>
    </row>
    <row r="1614" spans="2:19" x14ac:dyDescent="0.2">
      <c r="B1614" s="78">
        <f>B1613+1</f>
        <v>3</v>
      </c>
      <c r="C1614" s="7"/>
      <c r="D1614" s="7"/>
      <c r="E1614" s="7"/>
      <c r="F1614" s="24" t="s">
        <v>207</v>
      </c>
      <c r="G1614" s="7">
        <v>630</v>
      </c>
      <c r="H1614" s="7" t="s">
        <v>133</v>
      </c>
      <c r="I1614" s="22">
        <f>SUM(I1615:I1616)</f>
        <v>411000</v>
      </c>
      <c r="J1614" s="22">
        <f>SUM(J1615:J1616)</f>
        <v>380338</v>
      </c>
      <c r="K1614" s="218">
        <f t="shared" si="135"/>
        <v>92.539659367396595</v>
      </c>
      <c r="L1614" s="278"/>
      <c r="M1614" s="284"/>
      <c r="N1614" s="22"/>
      <c r="O1614" s="218"/>
      <c r="P1614" s="278"/>
      <c r="Q1614" s="284">
        <f t="shared" si="137"/>
        <v>411000</v>
      </c>
      <c r="R1614" s="22">
        <f t="shared" si="137"/>
        <v>380338</v>
      </c>
      <c r="S1614" s="219">
        <f t="shared" si="138"/>
        <v>92.539659367396595</v>
      </c>
    </row>
    <row r="1615" spans="2:19" x14ac:dyDescent="0.2">
      <c r="B1615" s="78">
        <f t="shared" ref="B1615:B1634" si="139">B1614+1</f>
        <v>4</v>
      </c>
      <c r="C1615" s="3"/>
      <c r="D1615" s="3"/>
      <c r="E1615" s="3"/>
      <c r="F1615" s="25" t="s">
        <v>207</v>
      </c>
      <c r="G1615" s="3">
        <v>635</v>
      </c>
      <c r="H1615" s="3" t="s">
        <v>145</v>
      </c>
      <c r="I1615" s="18">
        <v>410000</v>
      </c>
      <c r="J1615" s="18">
        <v>380338</v>
      </c>
      <c r="K1615" s="218">
        <f t="shared" si="135"/>
        <v>92.765365853658537</v>
      </c>
      <c r="L1615" s="279"/>
      <c r="M1615" s="285"/>
      <c r="N1615" s="18"/>
      <c r="O1615" s="218"/>
      <c r="P1615" s="279"/>
      <c r="Q1615" s="285">
        <f t="shared" si="137"/>
        <v>410000</v>
      </c>
      <c r="R1615" s="18">
        <f t="shared" si="137"/>
        <v>380338</v>
      </c>
      <c r="S1615" s="219">
        <f t="shared" si="138"/>
        <v>92.765365853658537</v>
      </c>
    </row>
    <row r="1616" spans="2:19" x14ac:dyDescent="0.2">
      <c r="B1616" s="78">
        <f t="shared" si="139"/>
        <v>5</v>
      </c>
      <c r="C1616" s="3"/>
      <c r="D1616" s="3"/>
      <c r="E1616" s="3"/>
      <c r="F1616" s="25" t="s">
        <v>207</v>
      </c>
      <c r="G1616" s="3">
        <v>637</v>
      </c>
      <c r="H1616" s="3" t="s">
        <v>134</v>
      </c>
      <c r="I1616" s="18">
        <v>1000</v>
      </c>
      <c r="J1616" s="18">
        <v>0</v>
      </c>
      <c r="K1616" s="218">
        <f t="shared" si="135"/>
        <v>0</v>
      </c>
      <c r="L1616" s="279"/>
      <c r="M1616" s="285"/>
      <c r="N1616" s="18"/>
      <c r="O1616" s="218"/>
      <c r="P1616" s="279"/>
      <c r="Q1616" s="285">
        <f t="shared" si="137"/>
        <v>1000</v>
      </c>
      <c r="R1616" s="18">
        <f t="shared" si="137"/>
        <v>0</v>
      </c>
      <c r="S1616" s="219">
        <f t="shared" si="138"/>
        <v>0</v>
      </c>
    </row>
    <row r="1617" spans="2:19" x14ac:dyDescent="0.2">
      <c r="B1617" s="78">
        <f t="shared" si="139"/>
        <v>6</v>
      </c>
      <c r="C1617" s="7"/>
      <c r="D1617" s="7"/>
      <c r="E1617" s="7"/>
      <c r="F1617" s="24" t="s">
        <v>207</v>
      </c>
      <c r="G1617" s="7">
        <v>710</v>
      </c>
      <c r="H1617" s="7" t="s">
        <v>188</v>
      </c>
      <c r="I1617" s="22"/>
      <c r="J1617" s="22"/>
      <c r="K1617" s="218"/>
      <c r="L1617" s="278"/>
      <c r="M1617" s="284">
        <f>M1618+M1622</f>
        <v>442781</v>
      </c>
      <c r="N1617" s="22">
        <f>N1618+N1622</f>
        <v>401160</v>
      </c>
      <c r="O1617" s="218">
        <f t="shared" si="136"/>
        <v>90.600093499946922</v>
      </c>
      <c r="P1617" s="278"/>
      <c r="Q1617" s="284">
        <f t="shared" si="137"/>
        <v>442781</v>
      </c>
      <c r="R1617" s="22">
        <f t="shared" si="137"/>
        <v>401160</v>
      </c>
      <c r="S1617" s="219">
        <f t="shared" si="138"/>
        <v>90.600093499946922</v>
      </c>
    </row>
    <row r="1618" spans="2:19" x14ac:dyDescent="0.2">
      <c r="B1618" s="78">
        <f t="shared" si="139"/>
        <v>7</v>
      </c>
      <c r="C1618" s="3"/>
      <c r="D1618" s="3"/>
      <c r="E1618" s="3"/>
      <c r="F1618" s="25" t="s">
        <v>207</v>
      </c>
      <c r="G1618" s="3">
        <v>716</v>
      </c>
      <c r="H1618" s="3" t="s">
        <v>231</v>
      </c>
      <c r="I1618" s="18"/>
      <c r="J1618" s="18"/>
      <c r="K1618" s="218"/>
      <c r="L1618" s="279"/>
      <c r="M1618" s="285">
        <f>SUM(M1619:M1621)</f>
        <v>32046</v>
      </c>
      <c r="N1618" s="18">
        <f>SUM(N1619:N1621)</f>
        <v>11716</v>
      </c>
      <c r="O1618" s="218">
        <f t="shared" si="136"/>
        <v>36.559945078949013</v>
      </c>
      <c r="P1618" s="279"/>
      <c r="Q1618" s="285">
        <f t="shared" si="137"/>
        <v>32046</v>
      </c>
      <c r="R1618" s="18">
        <f t="shared" si="137"/>
        <v>11716</v>
      </c>
      <c r="S1618" s="219">
        <f t="shared" si="138"/>
        <v>36.559945078949013</v>
      </c>
    </row>
    <row r="1619" spans="2:19" x14ac:dyDescent="0.2">
      <c r="B1619" s="78">
        <f t="shared" si="139"/>
        <v>8</v>
      </c>
      <c r="C1619" s="4"/>
      <c r="D1619" s="4"/>
      <c r="E1619" s="4"/>
      <c r="F1619" s="26"/>
      <c r="G1619" s="4"/>
      <c r="H1619" s="4" t="s">
        <v>369</v>
      </c>
      <c r="I1619" s="20"/>
      <c r="J1619" s="20"/>
      <c r="K1619" s="218"/>
      <c r="L1619" s="280"/>
      <c r="M1619" s="286">
        <v>4046</v>
      </c>
      <c r="N1619" s="20">
        <v>3951</v>
      </c>
      <c r="O1619" s="218">
        <f t="shared" si="136"/>
        <v>97.652001977261492</v>
      </c>
      <c r="P1619" s="280"/>
      <c r="Q1619" s="286">
        <f t="shared" si="137"/>
        <v>4046</v>
      </c>
      <c r="R1619" s="20">
        <f t="shared" si="137"/>
        <v>3951</v>
      </c>
      <c r="S1619" s="219">
        <f t="shared" si="138"/>
        <v>97.652001977261492</v>
      </c>
    </row>
    <row r="1620" spans="2:19" x14ac:dyDescent="0.2">
      <c r="B1620" s="78">
        <f t="shared" si="139"/>
        <v>9</v>
      </c>
      <c r="C1620" s="4"/>
      <c r="D1620" s="4"/>
      <c r="E1620" s="4"/>
      <c r="F1620" s="26"/>
      <c r="G1620" s="4"/>
      <c r="H1620" s="4" t="s">
        <v>499</v>
      </c>
      <c r="I1620" s="20"/>
      <c r="J1620" s="20"/>
      <c r="K1620" s="218"/>
      <c r="L1620" s="280"/>
      <c r="M1620" s="286">
        <f>6000+2000</f>
        <v>8000</v>
      </c>
      <c r="N1620" s="20">
        <v>7765</v>
      </c>
      <c r="O1620" s="218">
        <f t="shared" si="136"/>
        <v>97.0625</v>
      </c>
      <c r="P1620" s="280"/>
      <c r="Q1620" s="286">
        <f t="shared" si="137"/>
        <v>8000</v>
      </c>
      <c r="R1620" s="20">
        <f t="shared" si="137"/>
        <v>7765</v>
      </c>
      <c r="S1620" s="219">
        <f t="shared" si="138"/>
        <v>97.0625</v>
      </c>
    </row>
    <row r="1621" spans="2:19" x14ac:dyDescent="0.2">
      <c r="B1621" s="78">
        <f t="shared" si="139"/>
        <v>10</v>
      </c>
      <c r="C1621" s="4"/>
      <c r="D1621" s="4"/>
      <c r="E1621" s="4"/>
      <c r="F1621" s="26"/>
      <c r="G1621" s="4"/>
      <c r="H1621" s="4" t="s">
        <v>580</v>
      </c>
      <c r="I1621" s="20"/>
      <c r="J1621" s="20"/>
      <c r="K1621" s="218"/>
      <c r="L1621" s="280"/>
      <c r="M1621" s="286">
        <v>20000</v>
      </c>
      <c r="N1621" s="20">
        <v>0</v>
      </c>
      <c r="O1621" s="218">
        <f t="shared" si="136"/>
        <v>0</v>
      </c>
      <c r="P1621" s="280"/>
      <c r="Q1621" s="286">
        <f t="shared" si="137"/>
        <v>20000</v>
      </c>
      <c r="R1621" s="20">
        <f t="shared" si="137"/>
        <v>0</v>
      </c>
      <c r="S1621" s="219">
        <f t="shared" si="138"/>
        <v>0</v>
      </c>
    </row>
    <row r="1622" spans="2:19" x14ac:dyDescent="0.2">
      <c r="B1622" s="78">
        <f t="shared" si="139"/>
        <v>11</v>
      </c>
      <c r="C1622" s="4"/>
      <c r="D1622" s="4"/>
      <c r="E1622" s="4"/>
      <c r="F1622" s="25" t="s">
        <v>207</v>
      </c>
      <c r="G1622" s="3">
        <v>717</v>
      </c>
      <c r="H1622" s="3" t="s">
        <v>198</v>
      </c>
      <c r="I1622" s="20"/>
      <c r="J1622" s="20"/>
      <c r="K1622" s="218"/>
      <c r="L1622" s="280"/>
      <c r="M1622" s="285">
        <f>M1623</f>
        <v>410735</v>
      </c>
      <c r="N1622" s="18">
        <f>N1623</f>
        <v>389444</v>
      </c>
      <c r="O1622" s="218">
        <f t="shared" si="136"/>
        <v>94.816365783290934</v>
      </c>
      <c r="P1622" s="279"/>
      <c r="Q1622" s="285">
        <f>M1622</f>
        <v>410735</v>
      </c>
      <c r="R1622" s="18">
        <f>N1622</f>
        <v>389444</v>
      </c>
      <c r="S1622" s="219">
        <f t="shared" si="138"/>
        <v>94.816365783290934</v>
      </c>
    </row>
    <row r="1623" spans="2:19" x14ac:dyDescent="0.2">
      <c r="B1623" s="78">
        <f t="shared" si="139"/>
        <v>12</v>
      </c>
      <c r="C1623" s="4"/>
      <c r="D1623" s="4"/>
      <c r="E1623" s="4"/>
      <c r="F1623" s="26"/>
      <c r="G1623" s="4"/>
      <c r="H1623" s="4" t="s">
        <v>642</v>
      </c>
      <c r="I1623" s="20"/>
      <c r="J1623" s="20"/>
      <c r="K1623" s="218"/>
      <c r="L1623" s="280"/>
      <c r="M1623" s="286">
        <v>410735</v>
      </c>
      <c r="N1623" s="20">
        <v>389444</v>
      </c>
      <c r="O1623" s="218">
        <f t="shared" si="136"/>
        <v>94.816365783290934</v>
      </c>
      <c r="P1623" s="280"/>
      <c r="Q1623" s="286">
        <f>M1623</f>
        <v>410735</v>
      </c>
      <c r="R1623" s="20">
        <f>N1623</f>
        <v>389444</v>
      </c>
      <c r="S1623" s="219">
        <f t="shared" si="138"/>
        <v>94.816365783290934</v>
      </c>
    </row>
    <row r="1624" spans="2:19" ht="15" x14ac:dyDescent="0.25">
      <c r="B1624" s="78">
        <f t="shared" si="139"/>
        <v>13</v>
      </c>
      <c r="C1624" s="10"/>
      <c r="D1624" s="10"/>
      <c r="E1624" s="10">
        <v>2</v>
      </c>
      <c r="F1624" s="27"/>
      <c r="G1624" s="10"/>
      <c r="H1624" s="10" t="s">
        <v>401</v>
      </c>
      <c r="I1624" s="37">
        <f>I1625+I1626+I1627+I1634+I1635+I1636+I1637+I1648+I1649</f>
        <v>823050</v>
      </c>
      <c r="J1624" s="37">
        <f>J1625+J1626+J1627+J1634+J1635+J1636+J1637+J1648+J1649</f>
        <v>720070</v>
      </c>
      <c r="K1624" s="218">
        <f t="shared" si="135"/>
        <v>87.48800194398882</v>
      </c>
      <c r="L1624" s="295"/>
      <c r="M1624" s="299">
        <f>M1649</f>
        <v>30800</v>
      </c>
      <c r="N1624" s="37">
        <f>N1649</f>
        <v>30708</v>
      </c>
      <c r="O1624" s="218">
        <f t="shared" si="136"/>
        <v>99.701298701298697</v>
      </c>
      <c r="P1624" s="295"/>
      <c r="Q1624" s="299">
        <f t="shared" si="137"/>
        <v>853850</v>
      </c>
      <c r="R1624" s="37">
        <f t="shared" si="137"/>
        <v>750778</v>
      </c>
      <c r="S1624" s="219">
        <f t="shared" si="138"/>
        <v>87.928558880365401</v>
      </c>
    </row>
    <row r="1625" spans="2:19" x14ac:dyDescent="0.2">
      <c r="B1625" s="78">
        <f t="shared" si="139"/>
        <v>14</v>
      </c>
      <c r="C1625" s="7"/>
      <c r="D1625" s="7"/>
      <c r="E1625" s="7"/>
      <c r="F1625" s="24" t="s">
        <v>245</v>
      </c>
      <c r="G1625" s="7">
        <v>610</v>
      </c>
      <c r="H1625" s="7" t="s">
        <v>143</v>
      </c>
      <c r="I1625" s="22">
        <v>50720</v>
      </c>
      <c r="J1625" s="22">
        <f>21561+27205</f>
        <v>48766</v>
      </c>
      <c r="K1625" s="218">
        <f t="shared" si="135"/>
        <v>96.147476340693999</v>
      </c>
      <c r="L1625" s="278"/>
      <c r="M1625" s="284"/>
      <c r="N1625" s="22"/>
      <c r="O1625" s="218"/>
      <c r="P1625" s="278"/>
      <c r="Q1625" s="284">
        <f t="shared" si="137"/>
        <v>50720</v>
      </c>
      <c r="R1625" s="22">
        <f t="shared" si="137"/>
        <v>48766</v>
      </c>
      <c r="S1625" s="219">
        <f t="shared" si="138"/>
        <v>96.147476340693999</v>
      </c>
    </row>
    <row r="1626" spans="2:19" x14ac:dyDescent="0.2">
      <c r="B1626" s="78">
        <f t="shared" si="139"/>
        <v>15</v>
      </c>
      <c r="C1626" s="7"/>
      <c r="D1626" s="7"/>
      <c r="E1626" s="7"/>
      <c r="F1626" s="24" t="s">
        <v>245</v>
      </c>
      <c r="G1626" s="7">
        <v>620</v>
      </c>
      <c r="H1626" s="7" t="s">
        <v>136</v>
      </c>
      <c r="I1626" s="22">
        <v>17750</v>
      </c>
      <c r="J1626" s="22">
        <f>7545+9532</f>
        <v>17077</v>
      </c>
      <c r="K1626" s="218">
        <f t="shared" si="135"/>
        <v>96.208450704225356</v>
      </c>
      <c r="L1626" s="278"/>
      <c r="M1626" s="284"/>
      <c r="N1626" s="22"/>
      <c r="O1626" s="218"/>
      <c r="P1626" s="278"/>
      <c r="Q1626" s="284">
        <f t="shared" si="137"/>
        <v>17750</v>
      </c>
      <c r="R1626" s="22">
        <f t="shared" si="137"/>
        <v>17077</v>
      </c>
      <c r="S1626" s="219">
        <f t="shared" si="138"/>
        <v>96.208450704225356</v>
      </c>
    </row>
    <row r="1627" spans="2:19" x14ac:dyDescent="0.2">
      <c r="B1627" s="78">
        <f t="shared" si="139"/>
        <v>16</v>
      </c>
      <c r="C1627" s="7"/>
      <c r="D1627" s="7"/>
      <c r="E1627" s="7"/>
      <c r="F1627" s="24" t="s">
        <v>245</v>
      </c>
      <c r="G1627" s="7">
        <v>630</v>
      </c>
      <c r="H1627" s="7" t="s">
        <v>133</v>
      </c>
      <c r="I1627" s="22">
        <f>SUM(I1628:I1633)</f>
        <v>61200</v>
      </c>
      <c r="J1627" s="22">
        <f>SUM(J1628:J1633)</f>
        <v>51693</v>
      </c>
      <c r="K1627" s="218">
        <f t="shared" si="135"/>
        <v>84.465686274509792</v>
      </c>
      <c r="L1627" s="278"/>
      <c r="M1627" s="284"/>
      <c r="N1627" s="22"/>
      <c r="O1627" s="218"/>
      <c r="P1627" s="278"/>
      <c r="Q1627" s="284">
        <f t="shared" si="137"/>
        <v>61200</v>
      </c>
      <c r="R1627" s="22">
        <f t="shared" si="137"/>
        <v>51693</v>
      </c>
      <c r="S1627" s="219">
        <f t="shared" si="138"/>
        <v>84.465686274509792</v>
      </c>
    </row>
    <row r="1628" spans="2:19" x14ac:dyDescent="0.2">
      <c r="B1628" s="78">
        <f t="shared" si="139"/>
        <v>17</v>
      </c>
      <c r="C1628" s="3"/>
      <c r="D1628" s="3"/>
      <c r="E1628" s="3"/>
      <c r="F1628" s="25" t="s">
        <v>245</v>
      </c>
      <c r="G1628" s="3">
        <v>631</v>
      </c>
      <c r="H1628" s="3" t="s">
        <v>139</v>
      </c>
      <c r="I1628" s="18">
        <v>50</v>
      </c>
      <c r="J1628" s="18">
        <v>39</v>
      </c>
      <c r="K1628" s="218">
        <f t="shared" si="135"/>
        <v>78</v>
      </c>
      <c r="L1628" s="279"/>
      <c r="M1628" s="285"/>
      <c r="N1628" s="18"/>
      <c r="O1628" s="218"/>
      <c r="P1628" s="279"/>
      <c r="Q1628" s="285">
        <f t="shared" si="137"/>
        <v>50</v>
      </c>
      <c r="R1628" s="18">
        <f t="shared" si="137"/>
        <v>39</v>
      </c>
      <c r="S1628" s="219">
        <f t="shared" si="138"/>
        <v>78</v>
      </c>
    </row>
    <row r="1629" spans="2:19" x14ac:dyDescent="0.2">
      <c r="B1629" s="78">
        <f t="shared" si="139"/>
        <v>18</v>
      </c>
      <c r="C1629" s="3"/>
      <c r="D1629" s="3"/>
      <c r="E1629" s="3"/>
      <c r="F1629" s="25" t="s">
        <v>245</v>
      </c>
      <c r="G1629" s="3">
        <v>632</v>
      </c>
      <c r="H1629" s="3" t="s">
        <v>146</v>
      </c>
      <c r="I1629" s="18">
        <f>2100-1800+1500</f>
        <v>1800</v>
      </c>
      <c r="J1629" s="18">
        <f>1098+536</f>
        <v>1634</v>
      </c>
      <c r="K1629" s="218">
        <f t="shared" si="135"/>
        <v>90.777777777777786</v>
      </c>
      <c r="L1629" s="279"/>
      <c r="M1629" s="285"/>
      <c r="N1629" s="18"/>
      <c r="O1629" s="218"/>
      <c r="P1629" s="279"/>
      <c r="Q1629" s="285">
        <f t="shared" si="137"/>
        <v>1800</v>
      </c>
      <c r="R1629" s="18">
        <f t="shared" si="137"/>
        <v>1634</v>
      </c>
      <c r="S1629" s="219">
        <f t="shared" si="138"/>
        <v>90.777777777777786</v>
      </c>
    </row>
    <row r="1630" spans="2:19" x14ac:dyDescent="0.2">
      <c r="B1630" s="78">
        <f t="shared" si="139"/>
        <v>19</v>
      </c>
      <c r="C1630" s="3"/>
      <c r="D1630" s="3"/>
      <c r="E1630" s="3"/>
      <c r="F1630" s="25" t="s">
        <v>245</v>
      </c>
      <c r="G1630" s="3">
        <v>633</v>
      </c>
      <c r="H1630" s="3" t="s">
        <v>137</v>
      </c>
      <c r="I1630" s="18">
        <f>15350-1000</f>
        <v>14350</v>
      </c>
      <c r="J1630" s="18">
        <f>9489+3018</f>
        <v>12507</v>
      </c>
      <c r="K1630" s="218">
        <f t="shared" si="135"/>
        <v>87.156794425087099</v>
      </c>
      <c r="L1630" s="279"/>
      <c r="M1630" s="285"/>
      <c r="N1630" s="18"/>
      <c r="O1630" s="218"/>
      <c r="P1630" s="279"/>
      <c r="Q1630" s="285">
        <f t="shared" si="137"/>
        <v>14350</v>
      </c>
      <c r="R1630" s="18">
        <f t="shared" si="137"/>
        <v>12507</v>
      </c>
      <c r="S1630" s="219">
        <f t="shared" si="138"/>
        <v>87.156794425087099</v>
      </c>
    </row>
    <row r="1631" spans="2:19" x14ac:dyDescent="0.2">
      <c r="B1631" s="78">
        <f t="shared" si="139"/>
        <v>20</v>
      </c>
      <c r="C1631" s="3"/>
      <c r="D1631" s="3"/>
      <c r="E1631" s="3"/>
      <c r="F1631" s="25" t="s">
        <v>245</v>
      </c>
      <c r="G1631" s="3">
        <v>634</v>
      </c>
      <c r="H1631" s="3" t="s">
        <v>144</v>
      </c>
      <c r="I1631" s="18">
        <v>3650</v>
      </c>
      <c r="J1631" s="18">
        <f>1402+1878</f>
        <v>3280</v>
      </c>
      <c r="K1631" s="218">
        <f t="shared" si="135"/>
        <v>89.863013698630141</v>
      </c>
      <c r="L1631" s="279"/>
      <c r="M1631" s="285"/>
      <c r="N1631" s="18"/>
      <c r="O1631" s="218"/>
      <c r="P1631" s="279"/>
      <c r="Q1631" s="285">
        <f t="shared" si="137"/>
        <v>3650</v>
      </c>
      <c r="R1631" s="18">
        <f t="shared" si="137"/>
        <v>3280</v>
      </c>
      <c r="S1631" s="219">
        <f t="shared" si="138"/>
        <v>89.863013698630141</v>
      </c>
    </row>
    <row r="1632" spans="2:19" x14ac:dyDescent="0.2">
      <c r="B1632" s="78">
        <f t="shared" si="139"/>
        <v>21</v>
      </c>
      <c r="C1632" s="3"/>
      <c r="D1632" s="3"/>
      <c r="E1632" s="3"/>
      <c r="F1632" s="25" t="s">
        <v>245</v>
      </c>
      <c r="G1632" s="3">
        <v>635</v>
      </c>
      <c r="H1632" s="3" t="s">
        <v>145</v>
      </c>
      <c r="I1632" s="18">
        <f>3250+4000</f>
        <v>7250</v>
      </c>
      <c r="J1632" s="18">
        <f>202+1729</f>
        <v>1931</v>
      </c>
      <c r="K1632" s="218">
        <f t="shared" si="135"/>
        <v>26.634482758620692</v>
      </c>
      <c r="L1632" s="279"/>
      <c r="M1632" s="285"/>
      <c r="N1632" s="18"/>
      <c r="O1632" s="218"/>
      <c r="P1632" s="279"/>
      <c r="Q1632" s="285">
        <f t="shared" si="137"/>
        <v>7250</v>
      </c>
      <c r="R1632" s="18">
        <f t="shared" si="137"/>
        <v>1931</v>
      </c>
      <c r="S1632" s="219">
        <f t="shared" si="138"/>
        <v>26.634482758620692</v>
      </c>
    </row>
    <row r="1633" spans="2:19" x14ac:dyDescent="0.2">
      <c r="B1633" s="78">
        <f t="shared" si="139"/>
        <v>22</v>
      </c>
      <c r="C1633" s="3"/>
      <c r="D1633" s="3"/>
      <c r="E1633" s="3"/>
      <c r="F1633" s="25" t="s">
        <v>245</v>
      </c>
      <c r="G1633" s="3">
        <v>637</v>
      </c>
      <c r="H1633" s="3" t="s">
        <v>134</v>
      </c>
      <c r="I1633" s="18">
        <f>26600+7500</f>
        <v>34100</v>
      </c>
      <c r="J1633" s="18">
        <f>5236+27066</f>
        <v>32302</v>
      </c>
      <c r="K1633" s="218">
        <f t="shared" si="135"/>
        <v>94.72727272727272</v>
      </c>
      <c r="L1633" s="279"/>
      <c r="M1633" s="285"/>
      <c r="N1633" s="18"/>
      <c r="O1633" s="218"/>
      <c r="P1633" s="279"/>
      <c r="Q1633" s="285">
        <f t="shared" si="137"/>
        <v>34100</v>
      </c>
      <c r="R1633" s="18">
        <f t="shared" si="137"/>
        <v>32302</v>
      </c>
      <c r="S1633" s="219">
        <f t="shared" si="138"/>
        <v>94.72727272727272</v>
      </c>
    </row>
    <row r="1634" spans="2:19" x14ac:dyDescent="0.2">
      <c r="B1634" s="78">
        <f t="shared" si="139"/>
        <v>23</v>
      </c>
      <c r="C1634" s="7"/>
      <c r="D1634" s="7"/>
      <c r="E1634" s="7"/>
      <c r="F1634" s="24" t="s">
        <v>245</v>
      </c>
      <c r="G1634" s="7">
        <v>640</v>
      </c>
      <c r="H1634" s="7" t="s">
        <v>141</v>
      </c>
      <c r="I1634" s="22">
        <v>850</v>
      </c>
      <c r="J1634" s="22">
        <v>158</v>
      </c>
      <c r="K1634" s="218">
        <f t="shared" si="135"/>
        <v>18.588235294117649</v>
      </c>
      <c r="L1634" s="278"/>
      <c r="M1634" s="284"/>
      <c r="N1634" s="22"/>
      <c r="O1634" s="218"/>
      <c r="P1634" s="278"/>
      <c r="Q1634" s="284">
        <f t="shared" si="137"/>
        <v>850</v>
      </c>
      <c r="R1634" s="22">
        <f t="shared" si="137"/>
        <v>158</v>
      </c>
      <c r="S1634" s="219">
        <f t="shared" si="138"/>
        <v>18.588235294117649</v>
      </c>
    </row>
    <row r="1635" spans="2:19" x14ac:dyDescent="0.2">
      <c r="B1635" s="78">
        <f t="shared" si="134"/>
        <v>24</v>
      </c>
      <c r="C1635" s="7"/>
      <c r="D1635" s="7"/>
      <c r="E1635" s="7"/>
      <c r="F1635" s="24" t="s">
        <v>207</v>
      </c>
      <c r="G1635" s="7">
        <v>610</v>
      </c>
      <c r="H1635" s="7" t="s">
        <v>143</v>
      </c>
      <c r="I1635" s="22">
        <v>91580</v>
      </c>
      <c r="J1635" s="22">
        <v>88945</v>
      </c>
      <c r="K1635" s="218">
        <f t="shared" si="135"/>
        <v>97.122734221445725</v>
      </c>
      <c r="L1635" s="278"/>
      <c r="M1635" s="284"/>
      <c r="N1635" s="22"/>
      <c r="O1635" s="218"/>
      <c r="P1635" s="278"/>
      <c r="Q1635" s="284">
        <f t="shared" si="137"/>
        <v>91580</v>
      </c>
      <c r="R1635" s="22">
        <f t="shared" si="137"/>
        <v>88945</v>
      </c>
      <c r="S1635" s="219">
        <f t="shared" si="138"/>
        <v>97.122734221445725</v>
      </c>
    </row>
    <row r="1636" spans="2:19" x14ac:dyDescent="0.2">
      <c r="B1636" s="78">
        <f t="shared" si="134"/>
        <v>25</v>
      </c>
      <c r="C1636" s="7"/>
      <c r="D1636" s="7"/>
      <c r="E1636" s="7"/>
      <c r="F1636" s="24" t="s">
        <v>207</v>
      </c>
      <c r="G1636" s="7">
        <v>620</v>
      </c>
      <c r="H1636" s="7" t="s">
        <v>136</v>
      </c>
      <c r="I1636" s="22">
        <v>35000</v>
      </c>
      <c r="J1636" s="22">
        <v>32132</v>
      </c>
      <c r="K1636" s="218">
        <f t="shared" si="135"/>
        <v>91.805714285714288</v>
      </c>
      <c r="L1636" s="278"/>
      <c r="M1636" s="284"/>
      <c r="N1636" s="22"/>
      <c r="O1636" s="218"/>
      <c r="P1636" s="278"/>
      <c r="Q1636" s="284">
        <f t="shared" si="137"/>
        <v>35000</v>
      </c>
      <c r="R1636" s="22">
        <f t="shared" si="137"/>
        <v>32132</v>
      </c>
      <c r="S1636" s="219">
        <f t="shared" si="138"/>
        <v>91.805714285714288</v>
      </c>
    </row>
    <row r="1637" spans="2:19" x14ac:dyDescent="0.2">
      <c r="B1637" s="78">
        <f t="shared" si="134"/>
        <v>26</v>
      </c>
      <c r="C1637" s="7"/>
      <c r="D1637" s="7"/>
      <c r="E1637" s="7"/>
      <c r="F1637" s="24" t="s">
        <v>207</v>
      </c>
      <c r="G1637" s="7">
        <v>630</v>
      </c>
      <c r="H1637" s="7" t="s">
        <v>133</v>
      </c>
      <c r="I1637" s="22">
        <f>SUM(I1638:I1647)</f>
        <v>565600</v>
      </c>
      <c r="J1637" s="22">
        <f>SUM(J1638:J1647)</f>
        <v>481027</v>
      </c>
      <c r="K1637" s="218">
        <f t="shared" si="135"/>
        <v>85.04720650636493</v>
      </c>
      <c r="L1637" s="278"/>
      <c r="M1637" s="284"/>
      <c r="N1637" s="22"/>
      <c r="O1637" s="218"/>
      <c r="P1637" s="278"/>
      <c r="Q1637" s="284">
        <f t="shared" si="137"/>
        <v>565600</v>
      </c>
      <c r="R1637" s="22">
        <f t="shared" si="137"/>
        <v>481027</v>
      </c>
      <c r="S1637" s="219">
        <f t="shared" si="138"/>
        <v>85.04720650636493</v>
      </c>
    </row>
    <row r="1638" spans="2:19" x14ac:dyDescent="0.2">
      <c r="B1638" s="78">
        <f t="shared" si="134"/>
        <v>27</v>
      </c>
      <c r="C1638" s="3"/>
      <c r="D1638" s="3"/>
      <c r="E1638" s="3"/>
      <c r="F1638" s="25" t="s">
        <v>207</v>
      </c>
      <c r="G1638" s="3">
        <v>633</v>
      </c>
      <c r="H1638" s="3" t="s">
        <v>137</v>
      </c>
      <c r="I1638" s="18">
        <f>73300+5000</f>
        <v>78300</v>
      </c>
      <c r="J1638" s="18">
        <v>72246</v>
      </c>
      <c r="K1638" s="218">
        <f t="shared" si="135"/>
        <v>92.268199233716473</v>
      </c>
      <c r="L1638" s="279"/>
      <c r="M1638" s="285"/>
      <c r="N1638" s="18"/>
      <c r="O1638" s="218"/>
      <c r="P1638" s="279"/>
      <c r="Q1638" s="285">
        <f t="shared" si="137"/>
        <v>78300</v>
      </c>
      <c r="R1638" s="18">
        <f t="shared" si="137"/>
        <v>72246</v>
      </c>
      <c r="S1638" s="219">
        <f t="shared" si="138"/>
        <v>92.268199233716473</v>
      </c>
    </row>
    <row r="1639" spans="2:19" x14ac:dyDescent="0.2">
      <c r="B1639" s="78">
        <f t="shared" si="134"/>
        <v>28</v>
      </c>
      <c r="C1639" s="3"/>
      <c r="D1639" s="3"/>
      <c r="E1639" s="3"/>
      <c r="F1639" s="25" t="s">
        <v>207</v>
      </c>
      <c r="G1639" s="3">
        <v>634</v>
      </c>
      <c r="H1639" s="3" t="s">
        <v>144</v>
      </c>
      <c r="I1639" s="18">
        <v>22200</v>
      </c>
      <c r="J1639" s="18">
        <v>17026</v>
      </c>
      <c r="K1639" s="218">
        <f t="shared" si="135"/>
        <v>76.693693693693703</v>
      </c>
      <c r="L1639" s="279"/>
      <c r="M1639" s="285"/>
      <c r="N1639" s="18"/>
      <c r="O1639" s="218"/>
      <c r="P1639" s="279"/>
      <c r="Q1639" s="285">
        <f t="shared" si="137"/>
        <v>22200</v>
      </c>
      <c r="R1639" s="18">
        <f t="shared" si="137"/>
        <v>17026</v>
      </c>
      <c r="S1639" s="219">
        <f t="shared" si="138"/>
        <v>76.693693693693703</v>
      </c>
    </row>
    <row r="1640" spans="2:19" x14ac:dyDescent="0.2">
      <c r="B1640" s="78">
        <f t="shared" si="134"/>
        <v>29</v>
      </c>
      <c r="C1640" s="3"/>
      <c r="D1640" s="3"/>
      <c r="E1640" s="3"/>
      <c r="F1640" s="25" t="s">
        <v>207</v>
      </c>
      <c r="G1640" s="3">
        <v>635</v>
      </c>
      <c r="H1640" s="3" t="s">
        <v>145</v>
      </c>
      <c r="I1640" s="18">
        <f>83500+25000-1500-2300+7500-23100</f>
        <v>89100</v>
      </c>
      <c r="J1640" s="18">
        <v>53156</v>
      </c>
      <c r="K1640" s="218">
        <f t="shared" si="135"/>
        <v>59.658810325476999</v>
      </c>
      <c r="L1640" s="279"/>
      <c r="M1640" s="285"/>
      <c r="N1640" s="18"/>
      <c r="O1640" s="218"/>
      <c r="P1640" s="279"/>
      <c r="Q1640" s="285">
        <f t="shared" si="137"/>
        <v>89100</v>
      </c>
      <c r="R1640" s="18">
        <f t="shared" si="137"/>
        <v>53156</v>
      </c>
      <c r="S1640" s="219">
        <f t="shared" si="138"/>
        <v>59.658810325476999</v>
      </c>
    </row>
    <row r="1641" spans="2:19" x14ac:dyDescent="0.2">
      <c r="B1641" s="78">
        <f t="shared" si="134"/>
        <v>30</v>
      </c>
      <c r="C1641" s="3"/>
      <c r="D1641" s="3"/>
      <c r="E1641" s="3"/>
      <c r="F1641" s="25" t="s">
        <v>207</v>
      </c>
      <c r="G1641" s="3">
        <v>635</v>
      </c>
      <c r="H1641" s="54" t="s">
        <v>422</v>
      </c>
      <c r="I1641" s="60">
        <f>350000-60800</f>
        <v>289200</v>
      </c>
      <c r="J1641" s="60">
        <v>278269</v>
      </c>
      <c r="K1641" s="218">
        <f t="shared" si="135"/>
        <v>96.220262793914245</v>
      </c>
      <c r="L1641" s="279"/>
      <c r="M1641" s="285"/>
      <c r="N1641" s="18"/>
      <c r="O1641" s="218"/>
      <c r="P1641" s="279"/>
      <c r="Q1641" s="285">
        <f t="shared" si="137"/>
        <v>289200</v>
      </c>
      <c r="R1641" s="18">
        <f t="shared" si="137"/>
        <v>278269</v>
      </c>
      <c r="S1641" s="219">
        <f t="shared" si="138"/>
        <v>96.220262793914245</v>
      </c>
    </row>
    <row r="1642" spans="2:19" x14ac:dyDescent="0.2">
      <c r="B1642" s="78">
        <f t="shared" si="134"/>
        <v>31</v>
      </c>
      <c r="C1642" s="3"/>
      <c r="D1642" s="3"/>
      <c r="E1642" s="3"/>
      <c r="F1642" s="25" t="s">
        <v>207</v>
      </c>
      <c r="G1642" s="3">
        <v>635</v>
      </c>
      <c r="H1642" s="54" t="s">
        <v>595</v>
      </c>
      <c r="I1642" s="60">
        <v>25000</v>
      </c>
      <c r="J1642" s="60">
        <v>21570</v>
      </c>
      <c r="K1642" s="218">
        <f t="shared" si="135"/>
        <v>86.28</v>
      </c>
      <c r="L1642" s="279"/>
      <c r="M1642" s="285"/>
      <c r="N1642" s="18"/>
      <c r="O1642" s="218"/>
      <c r="P1642" s="279"/>
      <c r="Q1642" s="285">
        <f t="shared" si="137"/>
        <v>25000</v>
      </c>
      <c r="R1642" s="18">
        <f t="shared" si="137"/>
        <v>21570</v>
      </c>
      <c r="S1642" s="219">
        <f t="shared" si="138"/>
        <v>86.28</v>
      </c>
    </row>
    <row r="1643" spans="2:19" x14ac:dyDescent="0.2">
      <c r="B1643" s="78">
        <f t="shared" si="134"/>
        <v>32</v>
      </c>
      <c r="C1643" s="3"/>
      <c r="D1643" s="3"/>
      <c r="E1643" s="3"/>
      <c r="F1643" s="25" t="s">
        <v>207</v>
      </c>
      <c r="G1643" s="3">
        <v>635</v>
      </c>
      <c r="H1643" s="54" t="s">
        <v>596</v>
      </c>
      <c r="I1643" s="60">
        <v>14500</v>
      </c>
      <c r="J1643" s="60">
        <v>11650</v>
      </c>
      <c r="K1643" s="218">
        <f t="shared" si="135"/>
        <v>80.344827586206904</v>
      </c>
      <c r="L1643" s="279"/>
      <c r="M1643" s="285"/>
      <c r="N1643" s="18"/>
      <c r="O1643" s="218"/>
      <c r="P1643" s="279"/>
      <c r="Q1643" s="285">
        <f t="shared" si="137"/>
        <v>14500</v>
      </c>
      <c r="R1643" s="18">
        <f t="shared" si="137"/>
        <v>11650</v>
      </c>
      <c r="S1643" s="219">
        <f t="shared" si="138"/>
        <v>80.344827586206904</v>
      </c>
    </row>
    <row r="1644" spans="2:19" x14ac:dyDescent="0.2">
      <c r="B1644" s="78">
        <f t="shared" si="134"/>
        <v>33</v>
      </c>
      <c r="C1644" s="3"/>
      <c r="D1644" s="3"/>
      <c r="E1644" s="3"/>
      <c r="F1644" s="25" t="s">
        <v>207</v>
      </c>
      <c r="G1644" s="3">
        <v>635</v>
      </c>
      <c r="H1644" s="54" t="s">
        <v>502</v>
      </c>
      <c r="I1644" s="60">
        <v>10500</v>
      </c>
      <c r="J1644" s="60">
        <v>10499</v>
      </c>
      <c r="K1644" s="218">
        <f t="shared" si="135"/>
        <v>99.990476190476187</v>
      </c>
      <c r="L1644" s="279"/>
      <c r="M1644" s="285"/>
      <c r="N1644" s="18"/>
      <c r="O1644" s="218"/>
      <c r="P1644" s="279"/>
      <c r="Q1644" s="285">
        <f t="shared" si="137"/>
        <v>10500</v>
      </c>
      <c r="R1644" s="18">
        <f t="shared" si="137"/>
        <v>10499</v>
      </c>
      <c r="S1644" s="219">
        <f t="shared" si="138"/>
        <v>99.990476190476187</v>
      </c>
    </row>
    <row r="1645" spans="2:19" x14ac:dyDescent="0.2">
      <c r="B1645" s="78">
        <f t="shared" si="134"/>
        <v>34</v>
      </c>
      <c r="C1645" s="3"/>
      <c r="D1645" s="3"/>
      <c r="E1645" s="3"/>
      <c r="F1645" s="25" t="s">
        <v>207</v>
      </c>
      <c r="G1645" s="3">
        <v>635</v>
      </c>
      <c r="H1645" s="54" t="s">
        <v>616</v>
      </c>
      <c r="I1645" s="60">
        <v>8000</v>
      </c>
      <c r="J1645" s="60">
        <v>6728</v>
      </c>
      <c r="K1645" s="218">
        <f t="shared" si="135"/>
        <v>84.1</v>
      </c>
      <c r="L1645" s="279"/>
      <c r="M1645" s="285"/>
      <c r="N1645" s="18"/>
      <c r="O1645" s="218"/>
      <c r="P1645" s="279"/>
      <c r="Q1645" s="285">
        <f t="shared" si="137"/>
        <v>8000</v>
      </c>
      <c r="R1645" s="18">
        <f t="shared" si="137"/>
        <v>6728</v>
      </c>
      <c r="S1645" s="219">
        <f t="shared" si="138"/>
        <v>84.1</v>
      </c>
    </row>
    <row r="1646" spans="2:19" x14ac:dyDescent="0.2">
      <c r="B1646" s="78">
        <f t="shared" si="134"/>
        <v>35</v>
      </c>
      <c r="C1646" s="3"/>
      <c r="D1646" s="3"/>
      <c r="E1646" s="3"/>
      <c r="F1646" s="25" t="s">
        <v>207</v>
      </c>
      <c r="G1646" s="3">
        <v>636</v>
      </c>
      <c r="H1646" s="3" t="s">
        <v>138</v>
      </c>
      <c r="I1646" s="18">
        <v>700</v>
      </c>
      <c r="J1646" s="18">
        <v>0</v>
      </c>
      <c r="K1646" s="218">
        <f t="shared" si="135"/>
        <v>0</v>
      </c>
      <c r="L1646" s="279"/>
      <c r="M1646" s="285"/>
      <c r="N1646" s="18"/>
      <c r="O1646" s="218"/>
      <c r="P1646" s="279"/>
      <c r="Q1646" s="285">
        <f t="shared" si="137"/>
        <v>700</v>
      </c>
      <c r="R1646" s="18">
        <f t="shared" si="137"/>
        <v>0</v>
      </c>
      <c r="S1646" s="219">
        <f t="shared" si="138"/>
        <v>0</v>
      </c>
    </row>
    <row r="1647" spans="2:19" x14ac:dyDescent="0.2">
      <c r="B1647" s="78">
        <f t="shared" si="134"/>
        <v>36</v>
      </c>
      <c r="C1647" s="3"/>
      <c r="D1647" s="3"/>
      <c r="E1647" s="3"/>
      <c r="F1647" s="25" t="s">
        <v>207</v>
      </c>
      <c r="G1647" s="3">
        <v>637</v>
      </c>
      <c r="H1647" s="3" t="s">
        <v>134</v>
      </c>
      <c r="I1647" s="18">
        <f>25600+35000-25000-7500</f>
        <v>28100</v>
      </c>
      <c r="J1647" s="18">
        <v>9883</v>
      </c>
      <c r="K1647" s="218">
        <f t="shared" si="135"/>
        <v>35.170818505338083</v>
      </c>
      <c r="L1647" s="279"/>
      <c r="M1647" s="285"/>
      <c r="N1647" s="18"/>
      <c r="O1647" s="218"/>
      <c r="P1647" s="279"/>
      <c r="Q1647" s="285">
        <f t="shared" si="137"/>
        <v>28100</v>
      </c>
      <c r="R1647" s="18">
        <f t="shared" si="137"/>
        <v>9883</v>
      </c>
      <c r="S1647" s="219">
        <f t="shared" si="138"/>
        <v>35.170818505338083</v>
      </c>
    </row>
    <row r="1648" spans="2:19" x14ac:dyDescent="0.2">
      <c r="B1648" s="78">
        <f t="shared" si="134"/>
        <v>37</v>
      </c>
      <c r="C1648" s="7"/>
      <c r="D1648" s="7"/>
      <c r="E1648" s="7"/>
      <c r="F1648" s="24" t="s">
        <v>207</v>
      </c>
      <c r="G1648" s="7">
        <v>640</v>
      </c>
      <c r="H1648" s="7" t="s">
        <v>141</v>
      </c>
      <c r="I1648" s="22">
        <v>350</v>
      </c>
      <c r="J1648" s="22">
        <v>272</v>
      </c>
      <c r="K1648" s="218">
        <f t="shared" si="135"/>
        <v>77.714285714285708</v>
      </c>
      <c r="L1648" s="278"/>
      <c r="M1648" s="284"/>
      <c r="N1648" s="22"/>
      <c r="O1648" s="218"/>
      <c r="P1648" s="278"/>
      <c r="Q1648" s="284">
        <f t="shared" ref="Q1648:R1685" si="140">I1648+M1648</f>
        <v>350</v>
      </c>
      <c r="R1648" s="22">
        <f t="shared" si="140"/>
        <v>272</v>
      </c>
      <c r="S1648" s="219">
        <f t="shared" si="138"/>
        <v>77.714285714285708</v>
      </c>
    </row>
    <row r="1649" spans="2:19" x14ac:dyDescent="0.2">
      <c r="B1649" s="78">
        <f t="shared" si="134"/>
        <v>38</v>
      </c>
      <c r="C1649" s="7"/>
      <c r="D1649" s="7"/>
      <c r="E1649" s="7"/>
      <c r="F1649" s="24" t="s">
        <v>245</v>
      </c>
      <c r="G1649" s="7">
        <v>710</v>
      </c>
      <c r="H1649" s="7" t="s">
        <v>188</v>
      </c>
      <c r="I1649" s="22"/>
      <c r="J1649" s="22"/>
      <c r="K1649" s="218"/>
      <c r="L1649" s="278"/>
      <c r="M1649" s="284">
        <f>M1650</f>
        <v>30800</v>
      </c>
      <c r="N1649" s="22">
        <f>N1650</f>
        <v>30708</v>
      </c>
      <c r="O1649" s="218">
        <f t="shared" si="136"/>
        <v>99.701298701298697</v>
      </c>
      <c r="P1649" s="278"/>
      <c r="Q1649" s="284">
        <f t="shared" si="140"/>
        <v>30800</v>
      </c>
      <c r="R1649" s="22">
        <f t="shared" si="140"/>
        <v>30708</v>
      </c>
      <c r="S1649" s="219">
        <f t="shared" si="138"/>
        <v>99.701298701298697</v>
      </c>
    </row>
    <row r="1650" spans="2:19" x14ac:dyDescent="0.2">
      <c r="B1650" s="78">
        <f t="shared" si="134"/>
        <v>39</v>
      </c>
      <c r="C1650" s="3"/>
      <c r="D1650" s="3"/>
      <c r="E1650" s="3"/>
      <c r="F1650" s="25" t="s">
        <v>207</v>
      </c>
      <c r="G1650" s="3">
        <v>714</v>
      </c>
      <c r="H1650" s="3" t="s">
        <v>189</v>
      </c>
      <c r="I1650" s="18"/>
      <c r="J1650" s="18"/>
      <c r="K1650" s="218"/>
      <c r="L1650" s="279"/>
      <c r="M1650" s="285">
        <f>M1651+M1652</f>
        <v>30800</v>
      </c>
      <c r="N1650" s="18">
        <f>N1651+N1652</f>
        <v>30708</v>
      </c>
      <c r="O1650" s="218">
        <f t="shared" si="136"/>
        <v>99.701298701298697</v>
      </c>
      <c r="P1650" s="279"/>
      <c r="Q1650" s="285">
        <f t="shared" si="140"/>
        <v>30800</v>
      </c>
      <c r="R1650" s="18">
        <f t="shared" si="140"/>
        <v>30708</v>
      </c>
      <c r="S1650" s="219">
        <f t="shared" si="138"/>
        <v>99.701298701298697</v>
      </c>
    </row>
    <row r="1651" spans="2:19" x14ac:dyDescent="0.2">
      <c r="B1651" s="78">
        <f t="shared" si="134"/>
        <v>40</v>
      </c>
      <c r="C1651" s="4"/>
      <c r="D1651" s="4"/>
      <c r="E1651" s="4"/>
      <c r="F1651" s="30"/>
      <c r="G1651" s="4"/>
      <c r="H1651" s="13" t="s">
        <v>449</v>
      </c>
      <c r="I1651" s="20"/>
      <c r="J1651" s="20"/>
      <c r="K1651" s="218"/>
      <c r="L1651" s="280"/>
      <c r="M1651" s="286">
        <v>4500</v>
      </c>
      <c r="N1651" s="20">
        <v>4464</v>
      </c>
      <c r="O1651" s="218">
        <f t="shared" si="136"/>
        <v>99.2</v>
      </c>
      <c r="P1651" s="280"/>
      <c r="Q1651" s="286">
        <f t="shared" si="140"/>
        <v>4500</v>
      </c>
      <c r="R1651" s="20">
        <f t="shared" si="140"/>
        <v>4464</v>
      </c>
      <c r="S1651" s="219">
        <f t="shared" si="138"/>
        <v>99.2</v>
      </c>
    </row>
    <row r="1652" spans="2:19" x14ac:dyDescent="0.2">
      <c r="B1652" s="78">
        <f t="shared" si="134"/>
        <v>41</v>
      </c>
      <c r="C1652" s="4"/>
      <c r="D1652" s="4"/>
      <c r="E1652" s="4"/>
      <c r="F1652" s="30"/>
      <c r="G1652" s="4"/>
      <c r="H1652" s="13" t="s">
        <v>597</v>
      </c>
      <c r="I1652" s="20"/>
      <c r="J1652" s="20"/>
      <c r="K1652" s="218"/>
      <c r="L1652" s="280"/>
      <c r="M1652" s="286">
        <v>26300</v>
      </c>
      <c r="N1652" s="20">
        <v>26244</v>
      </c>
      <c r="O1652" s="218">
        <f t="shared" si="136"/>
        <v>99.787072243346003</v>
      </c>
      <c r="P1652" s="280"/>
      <c r="Q1652" s="286">
        <f t="shared" si="140"/>
        <v>26300</v>
      </c>
      <c r="R1652" s="20">
        <f t="shared" si="140"/>
        <v>26244</v>
      </c>
      <c r="S1652" s="219">
        <f t="shared" si="138"/>
        <v>99.787072243346003</v>
      </c>
    </row>
    <row r="1653" spans="2:19" ht="15" x14ac:dyDescent="0.2">
      <c r="B1653" s="78">
        <f t="shared" si="134"/>
        <v>42</v>
      </c>
      <c r="C1653" s="430">
        <v>2</v>
      </c>
      <c r="D1653" s="505" t="s">
        <v>152</v>
      </c>
      <c r="E1653" s="494"/>
      <c r="F1653" s="494"/>
      <c r="G1653" s="494"/>
      <c r="H1653" s="495"/>
      <c r="I1653" s="35">
        <f>I1668+I1654</f>
        <v>2251300</v>
      </c>
      <c r="J1653" s="35">
        <f>J1668+J1654</f>
        <v>2251300</v>
      </c>
      <c r="K1653" s="218">
        <f t="shared" si="135"/>
        <v>100</v>
      </c>
      <c r="L1653" s="276"/>
      <c r="M1653" s="282">
        <f>M1654+M1668</f>
        <v>460860</v>
      </c>
      <c r="N1653" s="35">
        <f>N1654+N1668</f>
        <v>408183</v>
      </c>
      <c r="O1653" s="218">
        <f t="shared" si="136"/>
        <v>88.569847676083839</v>
      </c>
      <c r="P1653" s="276"/>
      <c r="Q1653" s="282">
        <f t="shared" si="140"/>
        <v>2712160</v>
      </c>
      <c r="R1653" s="35">
        <f t="shared" si="140"/>
        <v>2659483</v>
      </c>
      <c r="S1653" s="219">
        <f t="shared" si="138"/>
        <v>98.057747330540963</v>
      </c>
    </row>
    <row r="1654" spans="2:19" ht="15" x14ac:dyDescent="0.25">
      <c r="B1654" s="78">
        <f t="shared" si="134"/>
        <v>43</v>
      </c>
      <c r="C1654" s="429"/>
      <c r="D1654" s="429">
        <v>1</v>
      </c>
      <c r="E1654" s="493" t="s">
        <v>151</v>
      </c>
      <c r="F1654" s="494"/>
      <c r="G1654" s="494"/>
      <c r="H1654" s="495"/>
      <c r="I1654" s="36">
        <f>I1655+I1657</f>
        <v>2249000</v>
      </c>
      <c r="J1654" s="36">
        <f>J1655+J1657</f>
        <v>2249000</v>
      </c>
      <c r="K1654" s="218">
        <f t="shared" si="135"/>
        <v>100</v>
      </c>
      <c r="L1654" s="277"/>
      <c r="M1654" s="283">
        <f>M1657</f>
        <v>395800</v>
      </c>
      <c r="N1654" s="36">
        <f>N1657</f>
        <v>343123</v>
      </c>
      <c r="O1654" s="218">
        <f t="shared" si="136"/>
        <v>86.691005558362804</v>
      </c>
      <c r="P1654" s="277"/>
      <c r="Q1654" s="283">
        <f t="shared" si="140"/>
        <v>2644800</v>
      </c>
      <c r="R1654" s="36">
        <f t="shared" si="140"/>
        <v>2592123</v>
      </c>
      <c r="S1654" s="219">
        <f t="shared" si="138"/>
        <v>98.008280399274057</v>
      </c>
    </row>
    <row r="1655" spans="2:19" x14ac:dyDescent="0.2">
      <c r="B1655" s="78">
        <f t="shared" si="134"/>
        <v>44</v>
      </c>
      <c r="C1655" s="7"/>
      <c r="D1655" s="7"/>
      <c r="E1655" s="7"/>
      <c r="F1655" s="24" t="s">
        <v>150</v>
      </c>
      <c r="G1655" s="7">
        <v>630</v>
      </c>
      <c r="H1655" s="7" t="s">
        <v>133</v>
      </c>
      <c r="I1655" s="22">
        <f>I1656</f>
        <v>2249000</v>
      </c>
      <c r="J1655" s="22">
        <f>J1656</f>
        <v>2249000</v>
      </c>
      <c r="K1655" s="218">
        <f t="shared" si="135"/>
        <v>100</v>
      </c>
      <c r="L1655" s="278"/>
      <c r="M1655" s="284"/>
      <c r="N1655" s="22"/>
      <c r="O1655" s="218"/>
      <c r="P1655" s="278"/>
      <c r="Q1655" s="284">
        <f t="shared" si="140"/>
        <v>2249000</v>
      </c>
      <c r="R1655" s="22">
        <f t="shared" si="140"/>
        <v>2249000</v>
      </c>
      <c r="S1655" s="219">
        <f t="shared" si="138"/>
        <v>100</v>
      </c>
    </row>
    <row r="1656" spans="2:19" x14ac:dyDescent="0.2">
      <c r="B1656" s="78">
        <f t="shared" si="134"/>
        <v>45</v>
      </c>
      <c r="C1656" s="3"/>
      <c r="D1656" s="3"/>
      <c r="E1656" s="3"/>
      <c r="F1656" s="25" t="s">
        <v>150</v>
      </c>
      <c r="G1656" s="3">
        <v>637</v>
      </c>
      <c r="H1656" s="3" t="s">
        <v>134</v>
      </c>
      <c r="I1656" s="18">
        <f>2544000-200000-24000-13000-3000-55000</f>
        <v>2249000</v>
      </c>
      <c r="J1656" s="18">
        <v>2249000</v>
      </c>
      <c r="K1656" s="218">
        <f t="shared" si="135"/>
        <v>100</v>
      </c>
      <c r="L1656" s="279"/>
      <c r="M1656" s="285"/>
      <c r="N1656" s="18"/>
      <c r="O1656" s="218"/>
      <c r="P1656" s="279"/>
      <c r="Q1656" s="285">
        <f t="shared" si="140"/>
        <v>2249000</v>
      </c>
      <c r="R1656" s="18">
        <f t="shared" si="140"/>
        <v>2249000</v>
      </c>
      <c r="S1656" s="219">
        <f t="shared" si="138"/>
        <v>100</v>
      </c>
    </row>
    <row r="1657" spans="2:19" x14ac:dyDescent="0.2">
      <c r="B1657" s="78">
        <f t="shared" si="134"/>
        <v>46</v>
      </c>
      <c r="C1657" s="7"/>
      <c r="D1657" s="7"/>
      <c r="E1657" s="7"/>
      <c r="F1657" s="24" t="s">
        <v>150</v>
      </c>
      <c r="G1657" s="7">
        <v>710</v>
      </c>
      <c r="H1657" s="7" t="s">
        <v>188</v>
      </c>
      <c r="I1657" s="22"/>
      <c r="J1657" s="22"/>
      <c r="K1657" s="218"/>
      <c r="L1657" s="278"/>
      <c r="M1657" s="284">
        <f>M1658+M1663</f>
        <v>395800</v>
      </c>
      <c r="N1657" s="22">
        <f>N1658+N1663</f>
        <v>343123</v>
      </c>
      <c r="O1657" s="218">
        <f t="shared" si="136"/>
        <v>86.691005558362804</v>
      </c>
      <c r="P1657" s="278"/>
      <c r="Q1657" s="284">
        <f t="shared" si="140"/>
        <v>395800</v>
      </c>
      <c r="R1657" s="22">
        <f t="shared" si="140"/>
        <v>343123</v>
      </c>
      <c r="S1657" s="219">
        <f t="shared" si="138"/>
        <v>86.691005558362804</v>
      </c>
    </row>
    <row r="1658" spans="2:19" x14ac:dyDescent="0.2">
      <c r="B1658" s="78">
        <f t="shared" si="134"/>
        <v>47</v>
      </c>
      <c r="C1658" s="3"/>
      <c r="D1658" s="3"/>
      <c r="E1658" s="3"/>
      <c r="F1658" s="25" t="s">
        <v>150</v>
      </c>
      <c r="G1658" s="3">
        <v>716</v>
      </c>
      <c r="H1658" s="3" t="s">
        <v>231</v>
      </c>
      <c r="I1658" s="18"/>
      <c r="J1658" s="18"/>
      <c r="K1658" s="218"/>
      <c r="L1658" s="279"/>
      <c r="M1658" s="285">
        <f>M1661+M1659+M1660+M1662</f>
        <v>14000</v>
      </c>
      <c r="N1658" s="18">
        <f>N1661+N1659+N1660+N1662</f>
        <v>12171</v>
      </c>
      <c r="O1658" s="218">
        <f t="shared" si="136"/>
        <v>86.935714285714283</v>
      </c>
      <c r="P1658" s="279"/>
      <c r="Q1658" s="285">
        <f t="shared" si="140"/>
        <v>14000</v>
      </c>
      <c r="R1658" s="18">
        <f t="shared" si="140"/>
        <v>12171</v>
      </c>
      <c r="S1658" s="219">
        <f t="shared" si="138"/>
        <v>86.935714285714283</v>
      </c>
    </row>
    <row r="1659" spans="2:19" x14ac:dyDescent="0.2">
      <c r="B1659" s="78">
        <f t="shared" si="134"/>
        <v>48</v>
      </c>
      <c r="C1659" s="3"/>
      <c r="D1659" s="3"/>
      <c r="E1659" s="3"/>
      <c r="F1659" s="25"/>
      <c r="G1659" s="3"/>
      <c r="H1659" s="133" t="s">
        <v>472</v>
      </c>
      <c r="I1659" s="20"/>
      <c r="J1659" s="20"/>
      <c r="K1659" s="218"/>
      <c r="L1659" s="280"/>
      <c r="M1659" s="286">
        <v>5000</v>
      </c>
      <c r="N1659" s="20">
        <v>4950</v>
      </c>
      <c r="O1659" s="218">
        <f t="shared" si="136"/>
        <v>99</v>
      </c>
      <c r="P1659" s="280"/>
      <c r="Q1659" s="286">
        <f t="shared" si="140"/>
        <v>5000</v>
      </c>
      <c r="R1659" s="20">
        <f t="shared" si="140"/>
        <v>4950</v>
      </c>
      <c r="S1659" s="219">
        <f t="shared" si="138"/>
        <v>99</v>
      </c>
    </row>
    <row r="1660" spans="2:19" x14ac:dyDescent="0.2">
      <c r="B1660" s="78">
        <f t="shared" si="134"/>
        <v>49</v>
      </c>
      <c r="C1660" s="3"/>
      <c r="D1660" s="3"/>
      <c r="E1660" s="3"/>
      <c r="F1660" s="25"/>
      <c r="G1660" s="3"/>
      <c r="H1660" s="133" t="s">
        <v>483</v>
      </c>
      <c r="I1660" s="20"/>
      <c r="J1660" s="20"/>
      <c r="K1660" s="218"/>
      <c r="L1660" s="280"/>
      <c r="M1660" s="286">
        <v>3000</v>
      </c>
      <c r="N1660" s="20">
        <v>2350</v>
      </c>
      <c r="O1660" s="218">
        <f t="shared" si="136"/>
        <v>78.333333333333329</v>
      </c>
      <c r="P1660" s="280"/>
      <c r="Q1660" s="286">
        <f t="shared" si="140"/>
        <v>3000</v>
      </c>
      <c r="R1660" s="20">
        <f t="shared" si="140"/>
        <v>2350</v>
      </c>
      <c r="S1660" s="219">
        <f t="shared" si="138"/>
        <v>78.333333333333329</v>
      </c>
    </row>
    <row r="1661" spans="2:19" x14ac:dyDescent="0.2">
      <c r="B1661" s="78">
        <f t="shared" si="134"/>
        <v>50</v>
      </c>
      <c r="C1661" s="4"/>
      <c r="D1661" s="4"/>
      <c r="E1661" s="4"/>
      <c r="F1661" s="26"/>
      <c r="G1661" s="4"/>
      <c r="H1661" s="4" t="s">
        <v>371</v>
      </c>
      <c r="I1661" s="20"/>
      <c r="J1661" s="20"/>
      <c r="K1661" s="218"/>
      <c r="L1661" s="280"/>
      <c r="M1661" s="286">
        <v>4000</v>
      </c>
      <c r="N1661" s="20">
        <v>3704</v>
      </c>
      <c r="O1661" s="218">
        <f t="shared" si="136"/>
        <v>92.600000000000009</v>
      </c>
      <c r="P1661" s="280"/>
      <c r="Q1661" s="286">
        <f t="shared" si="140"/>
        <v>4000</v>
      </c>
      <c r="R1661" s="20">
        <f t="shared" si="140"/>
        <v>3704</v>
      </c>
      <c r="S1661" s="219">
        <f t="shared" si="138"/>
        <v>92.600000000000009</v>
      </c>
    </row>
    <row r="1662" spans="2:19" x14ac:dyDescent="0.2">
      <c r="B1662" s="78">
        <f t="shared" si="134"/>
        <v>51</v>
      </c>
      <c r="C1662" s="4"/>
      <c r="D1662" s="4"/>
      <c r="E1662" s="4"/>
      <c r="F1662" s="26"/>
      <c r="G1662" s="4"/>
      <c r="H1662" s="4" t="s">
        <v>581</v>
      </c>
      <c r="I1662" s="20"/>
      <c r="J1662" s="20"/>
      <c r="K1662" s="218"/>
      <c r="L1662" s="280"/>
      <c r="M1662" s="286">
        <v>2000</v>
      </c>
      <c r="N1662" s="20">
        <v>1167</v>
      </c>
      <c r="O1662" s="218">
        <f t="shared" si="136"/>
        <v>58.35</v>
      </c>
      <c r="P1662" s="280"/>
      <c r="Q1662" s="286">
        <f t="shared" si="140"/>
        <v>2000</v>
      </c>
      <c r="R1662" s="20">
        <f t="shared" si="140"/>
        <v>1167</v>
      </c>
      <c r="S1662" s="219">
        <f t="shared" si="138"/>
        <v>58.35</v>
      </c>
    </row>
    <row r="1663" spans="2:19" x14ac:dyDescent="0.2">
      <c r="B1663" s="78">
        <f t="shared" si="134"/>
        <v>52</v>
      </c>
      <c r="C1663" s="3"/>
      <c r="D1663" s="3"/>
      <c r="E1663" s="3"/>
      <c r="F1663" s="25" t="s">
        <v>150</v>
      </c>
      <c r="G1663" s="3">
        <v>717</v>
      </c>
      <c r="H1663" s="3" t="s">
        <v>198</v>
      </c>
      <c r="I1663" s="18"/>
      <c r="J1663" s="18"/>
      <c r="K1663" s="218"/>
      <c r="L1663" s="279"/>
      <c r="M1663" s="285">
        <f>SUM(M1664:M1667)</f>
        <v>381800</v>
      </c>
      <c r="N1663" s="18">
        <f>SUM(N1664:N1667)</f>
        <v>330952</v>
      </c>
      <c r="O1663" s="218">
        <f t="shared" si="136"/>
        <v>86.682032477737039</v>
      </c>
      <c r="P1663" s="279"/>
      <c r="Q1663" s="285">
        <f t="shared" si="140"/>
        <v>381800</v>
      </c>
      <c r="R1663" s="18">
        <f t="shared" si="140"/>
        <v>330952</v>
      </c>
      <c r="S1663" s="219">
        <f t="shared" si="138"/>
        <v>86.682032477737039</v>
      </c>
    </row>
    <row r="1664" spans="2:19" x14ac:dyDescent="0.2">
      <c r="B1664" s="78">
        <f t="shared" si="134"/>
        <v>53</v>
      </c>
      <c r="C1664" s="4"/>
      <c r="D1664" s="4"/>
      <c r="E1664" s="4"/>
      <c r="F1664" s="26"/>
      <c r="G1664" s="4"/>
      <c r="H1664" s="13" t="s">
        <v>371</v>
      </c>
      <c r="I1664" s="20"/>
      <c r="J1664" s="20"/>
      <c r="K1664" s="218"/>
      <c r="L1664" s="280"/>
      <c r="M1664" s="286">
        <f>130000+12000+3800</f>
        <v>145800</v>
      </c>
      <c r="N1664" s="20">
        <v>145727</v>
      </c>
      <c r="O1664" s="218">
        <f t="shared" si="136"/>
        <v>99.949931412894372</v>
      </c>
      <c r="P1664" s="280"/>
      <c r="Q1664" s="286">
        <f t="shared" si="140"/>
        <v>145800</v>
      </c>
      <c r="R1664" s="20">
        <f t="shared" si="140"/>
        <v>145727</v>
      </c>
      <c r="S1664" s="219">
        <f t="shared" si="138"/>
        <v>99.949931412894372</v>
      </c>
    </row>
    <row r="1665" spans="2:19" x14ac:dyDescent="0.2">
      <c r="B1665" s="78">
        <f t="shared" si="134"/>
        <v>54</v>
      </c>
      <c r="C1665" s="4"/>
      <c r="D1665" s="4"/>
      <c r="E1665" s="4"/>
      <c r="F1665" s="26"/>
      <c r="G1665" s="4"/>
      <c r="H1665" s="133" t="s">
        <v>472</v>
      </c>
      <c r="I1665" s="20"/>
      <c r="J1665" s="20"/>
      <c r="K1665" s="218"/>
      <c r="L1665" s="280"/>
      <c r="M1665" s="286">
        <f>146000-5000</f>
        <v>141000</v>
      </c>
      <c r="N1665" s="20">
        <v>115945</v>
      </c>
      <c r="O1665" s="218">
        <f t="shared" si="136"/>
        <v>82.230496453900713</v>
      </c>
      <c r="P1665" s="280"/>
      <c r="Q1665" s="286">
        <f t="shared" si="140"/>
        <v>141000</v>
      </c>
      <c r="R1665" s="20">
        <f t="shared" si="140"/>
        <v>115945</v>
      </c>
      <c r="S1665" s="219">
        <f t="shared" si="138"/>
        <v>82.230496453900713</v>
      </c>
    </row>
    <row r="1666" spans="2:19" x14ac:dyDescent="0.2">
      <c r="B1666" s="78">
        <f t="shared" si="134"/>
        <v>55</v>
      </c>
      <c r="C1666" s="4"/>
      <c r="D1666" s="4"/>
      <c r="E1666" s="4"/>
      <c r="F1666" s="26"/>
      <c r="G1666" s="4"/>
      <c r="H1666" s="133" t="s">
        <v>483</v>
      </c>
      <c r="I1666" s="20"/>
      <c r="J1666" s="20"/>
      <c r="K1666" s="218"/>
      <c r="L1666" s="280"/>
      <c r="M1666" s="286">
        <f>60000-3000+13000</f>
        <v>70000</v>
      </c>
      <c r="N1666" s="20">
        <f>768+68512</f>
        <v>69280</v>
      </c>
      <c r="O1666" s="218">
        <f t="shared" si="136"/>
        <v>98.971428571428575</v>
      </c>
      <c r="P1666" s="280"/>
      <c r="Q1666" s="286">
        <f t="shared" si="140"/>
        <v>70000</v>
      </c>
      <c r="R1666" s="20">
        <f t="shared" si="140"/>
        <v>69280</v>
      </c>
      <c r="S1666" s="219">
        <f t="shared" si="138"/>
        <v>98.971428571428575</v>
      </c>
    </row>
    <row r="1667" spans="2:19" x14ac:dyDescent="0.2">
      <c r="B1667" s="78">
        <f t="shared" si="134"/>
        <v>56</v>
      </c>
      <c r="C1667" s="4"/>
      <c r="D1667" s="4"/>
      <c r="E1667" s="4"/>
      <c r="F1667" s="26"/>
      <c r="G1667" s="4"/>
      <c r="H1667" s="133" t="s">
        <v>581</v>
      </c>
      <c r="I1667" s="20"/>
      <c r="J1667" s="20"/>
      <c r="K1667" s="218"/>
      <c r="L1667" s="280"/>
      <c r="M1667" s="286">
        <f>22000+3000</f>
        <v>25000</v>
      </c>
      <c r="N1667" s="20">
        <v>0</v>
      </c>
      <c r="O1667" s="218">
        <f t="shared" si="136"/>
        <v>0</v>
      </c>
      <c r="P1667" s="280"/>
      <c r="Q1667" s="286">
        <f t="shared" si="140"/>
        <v>25000</v>
      </c>
      <c r="R1667" s="20">
        <f t="shared" si="140"/>
        <v>0</v>
      </c>
      <c r="S1667" s="219">
        <f t="shared" si="138"/>
        <v>0</v>
      </c>
    </row>
    <row r="1668" spans="2:19" ht="15" x14ac:dyDescent="0.25">
      <c r="B1668" s="78">
        <f t="shared" si="134"/>
        <v>57</v>
      </c>
      <c r="C1668" s="429"/>
      <c r="D1668" s="429">
        <v>2</v>
      </c>
      <c r="E1668" s="493" t="s">
        <v>256</v>
      </c>
      <c r="F1668" s="494"/>
      <c r="G1668" s="494"/>
      <c r="H1668" s="495"/>
      <c r="I1668" s="36">
        <f>I1669+I1671</f>
        <v>2300</v>
      </c>
      <c r="J1668" s="36">
        <f>J1669+J1671</f>
        <v>2300</v>
      </c>
      <c r="K1668" s="218">
        <f t="shared" si="135"/>
        <v>100</v>
      </c>
      <c r="L1668" s="277"/>
      <c r="M1668" s="283">
        <f>M1671</f>
        <v>65060</v>
      </c>
      <c r="N1668" s="36">
        <f>N1671</f>
        <v>65060</v>
      </c>
      <c r="O1668" s="218">
        <f t="shared" si="136"/>
        <v>100</v>
      </c>
      <c r="P1668" s="277"/>
      <c r="Q1668" s="283">
        <f t="shared" si="140"/>
        <v>67360</v>
      </c>
      <c r="R1668" s="36">
        <f t="shared" si="140"/>
        <v>67360</v>
      </c>
      <c r="S1668" s="219">
        <f t="shared" si="138"/>
        <v>100</v>
      </c>
    </row>
    <row r="1669" spans="2:19" x14ac:dyDescent="0.2">
      <c r="B1669" s="78">
        <f t="shared" si="134"/>
        <v>58</v>
      </c>
      <c r="C1669" s="7"/>
      <c r="D1669" s="7"/>
      <c r="E1669" s="7"/>
      <c r="F1669" s="24" t="s">
        <v>150</v>
      </c>
      <c r="G1669" s="7">
        <v>630</v>
      </c>
      <c r="H1669" s="7" t="s">
        <v>133</v>
      </c>
      <c r="I1669" s="22">
        <f>I1670</f>
        <v>2300</v>
      </c>
      <c r="J1669" s="22">
        <f>J1670</f>
        <v>2300</v>
      </c>
      <c r="K1669" s="218">
        <f t="shared" si="135"/>
        <v>100</v>
      </c>
      <c r="L1669" s="278"/>
      <c r="M1669" s="284"/>
      <c r="N1669" s="22"/>
      <c r="O1669" s="218"/>
      <c r="P1669" s="278"/>
      <c r="Q1669" s="284">
        <f t="shared" si="140"/>
        <v>2300</v>
      </c>
      <c r="R1669" s="22">
        <f t="shared" si="140"/>
        <v>2300</v>
      </c>
      <c r="S1669" s="219">
        <f t="shared" si="138"/>
        <v>100</v>
      </c>
    </row>
    <row r="1670" spans="2:19" x14ac:dyDescent="0.2">
      <c r="B1670" s="78">
        <f t="shared" si="134"/>
        <v>59</v>
      </c>
      <c r="C1670" s="3"/>
      <c r="D1670" s="3"/>
      <c r="E1670" s="3"/>
      <c r="F1670" s="25" t="s">
        <v>150</v>
      </c>
      <c r="G1670" s="3">
        <v>637</v>
      </c>
      <c r="H1670" s="3" t="s">
        <v>134</v>
      </c>
      <c r="I1670" s="18">
        <v>2300</v>
      </c>
      <c r="J1670" s="18">
        <v>2300</v>
      </c>
      <c r="K1670" s="218">
        <f t="shared" si="135"/>
        <v>100</v>
      </c>
      <c r="L1670" s="279"/>
      <c r="M1670" s="285"/>
      <c r="N1670" s="18"/>
      <c r="O1670" s="218"/>
      <c r="P1670" s="279"/>
      <c r="Q1670" s="285">
        <f t="shared" si="140"/>
        <v>2300</v>
      </c>
      <c r="R1670" s="18">
        <f t="shared" si="140"/>
        <v>2300</v>
      </c>
      <c r="S1670" s="219">
        <f t="shared" si="138"/>
        <v>100</v>
      </c>
    </row>
    <row r="1671" spans="2:19" x14ac:dyDescent="0.2">
      <c r="B1671" s="78">
        <f t="shared" si="134"/>
        <v>60</v>
      </c>
      <c r="C1671" s="7"/>
      <c r="D1671" s="7"/>
      <c r="E1671" s="7"/>
      <c r="F1671" s="24" t="s">
        <v>150</v>
      </c>
      <c r="G1671" s="7">
        <v>710</v>
      </c>
      <c r="H1671" s="7" t="s">
        <v>188</v>
      </c>
      <c r="I1671" s="22"/>
      <c r="J1671" s="22"/>
      <c r="K1671" s="218"/>
      <c r="L1671" s="278"/>
      <c r="M1671" s="284">
        <f>M1672</f>
        <v>65060</v>
      </c>
      <c r="N1671" s="22">
        <f>N1672</f>
        <v>65060</v>
      </c>
      <c r="O1671" s="218">
        <f t="shared" si="136"/>
        <v>100</v>
      </c>
      <c r="P1671" s="278"/>
      <c r="Q1671" s="284">
        <f t="shared" si="140"/>
        <v>65060</v>
      </c>
      <c r="R1671" s="22">
        <f t="shared" si="140"/>
        <v>65060</v>
      </c>
      <c r="S1671" s="219">
        <f t="shared" si="138"/>
        <v>100</v>
      </c>
    </row>
    <row r="1672" spans="2:19" x14ac:dyDescent="0.2">
      <c r="B1672" s="78">
        <f t="shared" si="134"/>
        <v>61</v>
      </c>
      <c r="C1672" s="3"/>
      <c r="D1672" s="3"/>
      <c r="E1672" s="3"/>
      <c r="F1672" s="25" t="s">
        <v>150</v>
      </c>
      <c r="G1672" s="3">
        <v>717</v>
      </c>
      <c r="H1672" s="3" t="s">
        <v>198</v>
      </c>
      <c r="I1672" s="18"/>
      <c r="J1672" s="18"/>
      <c r="K1672" s="218"/>
      <c r="L1672" s="279"/>
      <c r="M1672" s="285">
        <f>M1673</f>
        <v>65060</v>
      </c>
      <c r="N1672" s="18">
        <f>N1673</f>
        <v>65060</v>
      </c>
      <c r="O1672" s="218">
        <f t="shared" si="136"/>
        <v>100</v>
      </c>
      <c r="P1672" s="279"/>
      <c r="Q1672" s="285">
        <f t="shared" si="140"/>
        <v>65060</v>
      </c>
      <c r="R1672" s="18">
        <f t="shared" si="140"/>
        <v>65060</v>
      </c>
      <c r="S1672" s="219">
        <f t="shared" si="138"/>
        <v>100</v>
      </c>
    </row>
    <row r="1673" spans="2:19" x14ac:dyDescent="0.2">
      <c r="B1673" s="78">
        <f t="shared" si="134"/>
        <v>62</v>
      </c>
      <c r="C1673" s="4"/>
      <c r="D1673" s="4"/>
      <c r="E1673" s="4"/>
      <c r="F1673" s="26"/>
      <c r="G1673" s="4"/>
      <c r="H1673" s="4" t="s">
        <v>261</v>
      </c>
      <c r="I1673" s="20"/>
      <c r="J1673" s="20"/>
      <c r="K1673" s="218"/>
      <c r="L1673" s="280"/>
      <c r="M1673" s="286">
        <v>65060</v>
      </c>
      <c r="N1673" s="20">
        <v>65060</v>
      </c>
      <c r="O1673" s="218">
        <f t="shared" si="136"/>
        <v>100</v>
      </c>
      <c r="P1673" s="280"/>
      <c r="Q1673" s="286">
        <f t="shared" si="140"/>
        <v>65060</v>
      </c>
      <c r="R1673" s="20">
        <f t="shared" si="140"/>
        <v>65060</v>
      </c>
      <c r="S1673" s="219">
        <f t="shared" si="138"/>
        <v>100</v>
      </c>
    </row>
    <row r="1674" spans="2:19" ht="15" x14ac:dyDescent="0.2">
      <c r="B1674" s="78">
        <f t="shared" si="134"/>
        <v>63</v>
      </c>
      <c r="C1674" s="430">
        <v>3</v>
      </c>
      <c r="D1674" s="505" t="s">
        <v>506</v>
      </c>
      <c r="E1674" s="494"/>
      <c r="F1674" s="494"/>
      <c r="G1674" s="494"/>
      <c r="H1674" s="495"/>
      <c r="I1674" s="35">
        <f>I1675+I1678+I1683+I1688+I1696+I1686</f>
        <v>99500</v>
      </c>
      <c r="J1674" s="35">
        <f>J1675+J1678+J1683+J1688+J1696+J1686</f>
        <v>90957</v>
      </c>
      <c r="K1674" s="218">
        <f t="shared" ref="K1674:K1721" si="141">J1674/I1674*100</f>
        <v>91.414070351758795</v>
      </c>
      <c r="L1674" s="276"/>
      <c r="M1674" s="282">
        <f>M1688</f>
        <v>204520</v>
      </c>
      <c r="N1674" s="35">
        <f>N1688</f>
        <v>14506</v>
      </c>
      <c r="O1674" s="218">
        <f t="shared" si="136"/>
        <v>7.0927048699393698</v>
      </c>
      <c r="P1674" s="276"/>
      <c r="Q1674" s="282">
        <f t="shared" si="140"/>
        <v>304020</v>
      </c>
      <c r="R1674" s="35">
        <f t="shared" si="140"/>
        <v>105463</v>
      </c>
      <c r="S1674" s="219">
        <f t="shared" si="138"/>
        <v>34.689494112229454</v>
      </c>
    </row>
    <row r="1675" spans="2:19" x14ac:dyDescent="0.2">
      <c r="B1675" s="78">
        <f t="shared" si="134"/>
        <v>64</v>
      </c>
      <c r="C1675" s="7"/>
      <c r="D1675" s="7"/>
      <c r="E1675" s="7"/>
      <c r="F1675" s="24" t="s">
        <v>258</v>
      </c>
      <c r="G1675" s="7">
        <v>630</v>
      </c>
      <c r="H1675" s="7" t="s">
        <v>133</v>
      </c>
      <c r="I1675" s="22">
        <f>I1677+I1676</f>
        <v>16100</v>
      </c>
      <c r="J1675" s="22">
        <f>J1677+J1676</f>
        <v>12831</v>
      </c>
      <c r="K1675" s="218">
        <f t="shared" si="141"/>
        <v>79.695652173913047</v>
      </c>
      <c r="L1675" s="278"/>
      <c r="M1675" s="284"/>
      <c r="N1675" s="22"/>
      <c r="O1675" s="218"/>
      <c r="P1675" s="278"/>
      <c r="Q1675" s="284">
        <f t="shared" si="140"/>
        <v>16100</v>
      </c>
      <c r="R1675" s="22">
        <f t="shared" si="140"/>
        <v>12831</v>
      </c>
      <c r="S1675" s="219">
        <f t="shared" si="138"/>
        <v>79.695652173913047</v>
      </c>
    </row>
    <row r="1676" spans="2:19" x14ac:dyDescent="0.2">
      <c r="B1676" s="78">
        <f t="shared" ref="B1676:B1725" si="142">B1675+1</f>
        <v>65</v>
      </c>
      <c r="C1676" s="3"/>
      <c r="D1676" s="3"/>
      <c r="E1676" s="3"/>
      <c r="F1676" s="25" t="s">
        <v>258</v>
      </c>
      <c r="G1676" s="3">
        <v>633</v>
      </c>
      <c r="H1676" s="3" t="s">
        <v>137</v>
      </c>
      <c r="I1676" s="18">
        <v>100</v>
      </c>
      <c r="J1676" s="18">
        <v>31</v>
      </c>
      <c r="K1676" s="218">
        <f t="shared" si="141"/>
        <v>31</v>
      </c>
      <c r="L1676" s="279"/>
      <c r="M1676" s="285"/>
      <c r="N1676" s="18"/>
      <c r="O1676" s="218"/>
      <c r="P1676" s="279"/>
      <c r="Q1676" s="285">
        <f t="shared" si="140"/>
        <v>100</v>
      </c>
      <c r="R1676" s="18">
        <f t="shared" si="140"/>
        <v>31</v>
      </c>
      <c r="S1676" s="219">
        <f t="shared" ref="S1676:S1726" si="143">R1676/Q1676*100</f>
        <v>31</v>
      </c>
    </row>
    <row r="1677" spans="2:19" x14ac:dyDescent="0.2">
      <c r="B1677" s="78">
        <f t="shared" si="142"/>
        <v>66</v>
      </c>
      <c r="C1677" s="3"/>
      <c r="D1677" s="3"/>
      <c r="E1677" s="3"/>
      <c r="F1677" s="25" t="s">
        <v>258</v>
      </c>
      <c r="G1677" s="3">
        <v>637</v>
      </c>
      <c r="H1677" s="3" t="s">
        <v>134</v>
      </c>
      <c r="I1677" s="18">
        <f>93500-85000+2500+2000+3000</f>
        <v>16000</v>
      </c>
      <c r="J1677" s="18">
        <v>12800</v>
      </c>
      <c r="K1677" s="218">
        <f t="shared" si="141"/>
        <v>80</v>
      </c>
      <c r="L1677" s="279"/>
      <c r="M1677" s="285"/>
      <c r="N1677" s="18"/>
      <c r="O1677" s="218"/>
      <c r="P1677" s="279"/>
      <c r="Q1677" s="285">
        <f t="shared" si="140"/>
        <v>16000</v>
      </c>
      <c r="R1677" s="18">
        <f t="shared" si="140"/>
        <v>12800</v>
      </c>
      <c r="S1677" s="219">
        <f t="shared" si="143"/>
        <v>80</v>
      </c>
    </row>
    <row r="1678" spans="2:19" x14ac:dyDescent="0.2">
      <c r="B1678" s="78">
        <f t="shared" si="142"/>
        <v>67</v>
      </c>
      <c r="C1678" s="7"/>
      <c r="D1678" s="7"/>
      <c r="E1678" s="7"/>
      <c r="F1678" s="24" t="s">
        <v>82</v>
      </c>
      <c r="G1678" s="7">
        <v>630</v>
      </c>
      <c r="H1678" s="7" t="s">
        <v>133</v>
      </c>
      <c r="I1678" s="22">
        <f>I1679+I1680+I1682+I1681</f>
        <v>63000</v>
      </c>
      <c r="J1678" s="22">
        <f>J1679+J1680+J1682+J1681</f>
        <v>59051</v>
      </c>
      <c r="K1678" s="218">
        <f t="shared" si="141"/>
        <v>93.731746031746027</v>
      </c>
      <c r="L1678" s="278"/>
      <c r="M1678" s="284"/>
      <c r="N1678" s="22"/>
      <c r="O1678" s="218"/>
      <c r="P1678" s="278"/>
      <c r="Q1678" s="284">
        <f t="shared" si="140"/>
        <v>63000</v>
      </c>
      <c r="R1678" s="22">
        <f t="shared" si="140"/>
        <v>59051</v>
      </c>
      <c r="S1678" s="219">
        <f t="shared" si="143"/>
        <v>93.731746031746027</v>
      </c>
    </row>
    <row r="1679" spans="2:19" x14ac:dyDescent="0.2">
      <c r="B1679" s="78">
        <f t="shared" si="142"/>
        <v>68</v>
      </c>
      <c r="C1679" s="3"/>
      <c r="D1679" s="3"/>
      <c r="E1679" s="3"/>
      <c r="F1679" s="25" t="s">
        <v>82</v>
      </c>
      <c r="G1679" s="3">
        <v>637</v>
      </c>
      <c r="H1679" s="54" t="s">
        <v>377</v>
      </c>
      <c r="I1679" s="60">
        <f>15000+29950</f>
        <v>44950</v>
      </c>
      <c r="J1679" s="60">
        <f>15000+26547+17</f>
        <v>41564</v>
      </c>
      <c r="K1679" s="218">
        <f t="shared" si="141"/>
        <v>92.467185761957722</v>
      </c>
      <c r="L1679" s="279"/>
      <c r="M1679" s="285"/>
      <c r="N1679" s="18"/>
      <c r="O1679" s="218"/>
      <c r="P1679" s="279"/>
      <c r="Q1679" s="285">
        <f t="shared" si="140"/>
        <v>44950</v>
      </c>
      <c r="R1679" s="18">
        <f t="shared" si="140"/>
        <v>41564</v>
      </c>
      <c r="S1679" s="219">
        <f t="shared" si="143"/>
        <v>92.467185761957722</v>
      </c>
    </row>
    <row r="1680" spans="2:19" x14ac:dyDescent="0.2">
      <c r="B1680" s="78">
        <f t="shared" si="142"/>
        <v>69</v>
      </c>
      <c r="C1680" s="3"/>
      <c r="D1680" s="3"/>
      <c r="E1680" s="3"/>
      <c r="F1680" s="25" t="s">
        <v>82</v>
      </c>
      <c r="G1680" s="3">
        <v>637</v>
      </c>
      <c r="H1680" s="3" t="s">
        <v>442</v>
      </c>
      <c r="I1680" s="60">
        <f>6450-2350</f>
        <v>4100</v>
      </c>
      <c r="J1680" s="60">
        <v>4100</v>
      </c>
      <c r="K1680" s="218">
        <f t="shared" si="141"/>
        <v>100</v>
      </c>
      <c r="L1680" s="279"/>
      <c r="M1680" s="285"/>
      <c r="N1680" s="18"/>
      <c r="O1680" s="218"/>
      <c r="P1680" s="279"/>
      <c r="Q1680" s="285">
        <f t="shared" si="140"/>
        <v>4100</v>
      </c>
      <c r="R1680" s="18">
        <f t="shared" si="140"/>
        <v>4100</v>
      </c>
      <c r="S1680" s="219">
        <f t="shared" si="143"/>
        <v>100</v>
      </c>
    </row>
    <row r="1681" spans="2:19" ht="24" x14ac:dyDescent="0.2">
      <c r="B1681" s="78">
        <f t="shared" si="142"/>
        <v>70</v>
      </c>
      <c r="C1681" s="46"/>
      <c r="D1681" s="46"/>
      <c r="E1681" s="46"/>
      <c r="F1681" s="149" t="s">
        <v>82</v>
      </c>
      <c r="G1681" s="46">
        <v>636</v>
      </c>
      <c r="H1681" s="150" t="s">
        <v>643</v>
      </c>
      <c r="I1681" s="86">
        <v>9000</v>
      </c>
      <c r="J1681" s="86">
        <v>8487</v>
      </c>
      <c r="K1681" s="218">
        <f t="shared" si="141"/>
        <v>94.3</v>
      </c>
      <c r="L1681" s="329"/>
      <c r="M1681" s="331"/>
      <c r="N1681" s="49"/>
      <c r="O1681" s="218"/>
      <c r="P1681" s="329"/>
      <c r="Q1681" s="331"/>
      <c r="R1681" s="49"/>
      <c r="S1681" s="219"/>
    </row>
    <row r="1682" spans="2:19" x14ac:dyDescent="0.2">
      <c r="B1682" s="78">
        <f t="shared" si="142"/>
        <v>71</v>
      </c>
      <c r="C1682" s="46"/>
      <c r="D1682" s="46"/>
      <c r="E1682" s="46"/>
      <c r="F1682" s="149" t="s">
        <v>82</v>
      </c>
      <c r="G1682" s="46">
        <v>637</v>
      </c>
      <c r="H1682" s="150" t="s">
        <v>652</v>
      </c>
      <c r="I1682" s="86">
        <v>4950</v>
      </c>
      <c r="J1682" s="86">
        <v>4900</v>
      </c>
      <c r="K1682" s="218">
        <f t="shared" si="141"/>
        <v>98.98989898989899</v>
      </c>
      <c r="L1682" s="329"/>
      <c r="M1682" s="331"/>
      <c r="N1682" s="49"/>
      <c r="O1682" s="218"/>
      <c r="P1682" s="329"/>
      <c r="Q1682" s="331">
        <f t="shared" si="140"/>
        <v>4950</v>
      </c>
      <c r="R1682" s="49">
        <f t="shared" si="140"/>
        <v>4900</v>
      </c>
      <c r="S1682" s="219">
        <f t="shared" si="143"/>
        <v>98.98989898989899</v>
      </c>
    </row>
    <row r="1683" spans="2:19" x14ac:dyDescent="0.2">
      <c r="B1683" s="78">
        <f t="shared" si="142"/>
        <v>72</v>
      </c>
      <c r="C1683" s="7"/>
      <c r="D1683" s="7"/>
      <c r="E1683" s="7"/>
      <c r="F1683" s="24" t="s">
        <v>258</v>
      </c>
      <c r="G1683" s="7">
        <v>640</v>
      </c>
      <c r="H1683" s="7" t="s">
        <v>141</v>
      </c>
      <c r="I1683" s="22">
        <f>I1684+I1685</f>
        <v>7200</v>
      </c>
      <c r="J1683" s="22">
        <f>J1684+J1685</f>
        <v>6487</v>
      </c>
      <c r="K1683" s="218">
        <f t="shared" si="141"/>
        <v>90.097222222222214</v>
      </c>
      <c r="L1683" s="278"/>
      <c r="M1683" s="284"/>
      <c r="N1683" s="22"/>
      <c r="O1683" s="218"/>
      <c r="P1683" s="278"/>
      <c r="Q1683" s="284">
        <f t="shared" si="140"/>
        <v>7200</v>
      </c>
      <c r="R1683" s="22">
        <f t="shared" si="140"/>
        <v>6487</v>
      </c>
      <c r="S1683" s="219">
        <f t="shared" si="143"/>
        <v>90.097222222222214</v>
      </c>
    </row>
    <row r="1684" spans="2:19" x14ac:dyDescent="0.2">
      <c r="B1684" s="78">
        <f t="shared" si="142"/>
        <v>73</v>
      </c>
      <c r="C1684" s="3"/>
      <c r="D1684" s="3"/>
      <c r="E1684" s="3"/>
      <c r="F1684" s="25"/>
      <c r="G1684" s="3"/>
      <c r="H1684" s="4" t="s">
        <v>292</v>
      </c>
      <c r="I1684" s="20">
        <v>3200</v>
      </c>
      <c r="J1684" s="20">
        <v>2487</v>
      </c>
      <c r="K1684" s="218">
        <f t="shared" si="141"/>
        <v>77.71875</v>
      </c>
      <c r="L1684" s="280"/>
      <c r="M1684" s="285"/>
      <c r="N1684" s="18"/>
      <c r="O1684" s="218"/>
      <c r="P1684" s="279"/>
      <c r="Q1684" s="285">
        <f t="shared" si="140"/>
        <v>3200</v>
      </c>
      <c r="R1684" s="18">
        <f t="shared" si="140"/>
        <v>2487</v>
      </c>
      <c r="S1684" s="219">
        <f t="shared" si="143"/>
        <v>77.71875</v>
      </c>
    </row>
    <row r="1685" spans="2:19" x14ac:dyDescent="0.2">
      <c r="B1685" s="78">
        <f t="shared" si="142"/>
        <v>74</v>
      </c>
      <c r="C1685" s="4"/>
      <c r="D1685" s="4"/>
      <c r="E1685" s="4"/>
      <c r="F1685" s="26"/>
      <c r="G1685" s="4"/>
      <c r="H1685" s="4" t="s">
        <v>503</v>
      </c>
      <c r="I1685" s="20">
        <v>4000</v>
      </c>
      <c r="J1685" s="20">
        <v>4000</v>
      </c>
      <c r="K1685" s="218">
        <f t="shared" si="141"/>
        <v>100</v>
      </c>
      <c r="L1685" s="280"/>
      <c r="M1685" s="286"/>
      <c r="N1685" s="20"/>
      <c r="O1685" s="218"/>
      <c r="P1685" s="280"/>
      <c r="Q1685" s="286">
        <f t="shared" si="140"/>
        <v>4000</v>
      </c>
      <c r="R1685" s="20">
        <f t="shared" si="140"/>
        <v>4000</v>
      </c>
      <c r="S1685" s="219">
        <f t="shared" si="143"/>
        <v>100</v>
      </c>
    </row>
    <row r="1686" spans="2:19" x14ac:dyDescent="0.2">
      <c r="B1686" s="78">
        <f t="shared" si="142"/>
        <v>75</v>
      </c>
      <c r="C1686" s="4"/>
      <c r="D1686" s="4"/>
      <c r="E1686" s="4"/>
      <c r="F1686" s="24" t="s">
        <v>156</v>
      </c>
      <c r="G1686" s="7">
        <v>640</v>
      </c>
      <c r="H1686" s="7" t="s">
        <v>141</v>
      </c>
      <c r="I1686" s="22">
        <f>I1687+I1688</f>
        <v>3200</v>
      </c>
      <c r="J1686" s="22">
        <f>J1687+J1688</f>
        <v>3200</v>
      </c>
      <c r="K1686" s="218">
        <f t="shared" si="141"/>
        <v>100</v>
      </c>
      <c r="L1686" s="278"/>
      <c r="M1686" s="284"/>
      <c r="N1686" s="22"/>
      <c r="O1686" s="218"/>
      <c r="P1686" s="278"/>
      <c r="Q1686" s="284">
        <f t="shared" ref="Q1686:R1701" si="144">I1686+M1686</f>
        <v>3200</v>
      </c>
      <c r="R1686" s="22">
        <f t="shared" si="144"/>
        <v>3200</v>
      </c>
      <c r="S1686" s="219">
        <f t="shared" si="143"/>
        <v>100</v>
      </c>
    </row>
    <row r="1687" spans="2:19" x14ac:dyDescent="0.2">
      <c r="B1687" s="78">
        <f t="shared" si="142"/>
        <v>76</v>
      </c>
      <c r="C1687" s="4"/>
      <c r="D1687" s="4"/>
      <c r="E1687" s="4"/>
      <c r="F1687" s="25"/>
      <c r="G1687" s="3"/>
      <c r="H1687" s="4" t="s">
        <v>598</v>
      </c>
      <c r="I1687" s="20">
        <v>3200</v>
      </c>
      <c r="J1687" s="20">
        <v>3200</v>
      </c>
      <c r="K1687" s="218">
        <f t="shared" si="141"/>
        <v>100</v>
      </c>
      <c r="L1687" s="280"/>
      <c r="M1687" s="285"/>
      <c r="N1687" s="18"/>
      <c r="O1687" s="218"/>
      <c r="P1687" s="279"/>
      <c r="Q1687" s="285">
        <f t="shared" si="144"/>
        <v>3200</v>
      </c>
      <c r="R1687" s="18">
        <f t="shared" si="144"/>
        <v>3200</v>
      </c>
      <c r="S1687" s="219">
        <f t="shared" si="143"/>
        <v>100</v>
      </c>
    </row>
    <row r="1688" spans="2:19" x14ac:dyDescent="0.2">
      <c r="B1688" s="78">
        <f t="shared" si="142"/>
        <v>77</v>
      </c>
      <c r="C1688" s="7"/>
      <c r="D1688" s="7"/>
      <c r="E1688" s="7"/>
      <c r="F1688" s="24" t="s">
        <v>258</v>
      </c>
      <c r="G1688" s="7">
        <v>710</v>
      </c>
      <c r="H1688" s="7" t="s">
        <v>188</v>
      </c>
      <c r="I1688" s="22"/>
      <c r="J1688" s="22"/>
      <c r="K1688" s="218"/>
      <c r="L1688" s="278"/>
      <c r="M1688" s="284">
        <f>M1693+M1691+M1689</f>
        <v>204520</v>
      </c>
      <c r="N1688" s="22">
        <f>N1693+N1691+N1689</f>
        <v>14506</v>
      </c>
      <c r="O1688" s="218">
        <f t="shared" ref="O1688:O1726" si="145">N1688/M1688*100</f>
        <v>7.0927048699393698</v>
      </c>
      <c r="P1688" s="278"/>
      <c r="Q1688" s="284">
        <f t="shared" si="144"/>
        <v>204520</v>
      </c>
      <c r="R1688" s="22">
        <f t="shared" si="144"/>
        <v>14506</v>
      </c>
      <c r="S1688" s="219">
        <f t="shared" si="143"/>
        <v>7.0927048699393698</v>
      </c>
    </row>
    <row r="1689" spans="2:19" x14ac:dyDescent="0.2">
      <c r="B1689" s="78">
        <f t="shared" si="142"/>
        <v>78</v>
      </c>
      <c r="C1689" s="7"/>
      <c r="D1689" s="7"/>
      <c r="E1689" s="7"/>
      <c r="F1689" s="25" t="s">
        <v>258</v>
      </c>
      <c r="G1689" s="3">
        <v>711</v>
      </c>
      <c r="H1689" s="3" t="s">
        <v>224</v>
      </c>
      <c r="I1689" s="22"/>
      <c r="J1689" s="22"/>
      <c r="K1689" s="218"/>
      <c r="L1689" s="278"/>
      <c r="M1689" s="285">
        <f>M1690</f>
        <v>85000</v>
      </c>
      <c r="N1689" s="18">
        <f>N1690</f>
        <v>0</v>
      </c>
      <c r="O1689" s="218">
        <f t="shared" si="145"/>
        <v>0</v>
      </c>
      <c r="P1689" s="279"/>
      <c r="Q1689" s="300">
        <f t="shared" ref="Q1689:R1692" si="146">M1689</f>
        <v>85000</v>
      </c>
      <c r="R1689" s="19">
        <f t="shared" si="146"/>
        <v>0</v>
      </c>
      <c r="S1689" s="219">
        <f t="shared" si="143"/>
        <v>0</v>
      </c>
    </row>
    <row r="1690" spans="2:19" x14ac:dyDescent="0.2">
      <c r="B1690" s="78">
        <f t="shared" si="142"/>
        <v>79</v>
      </c>
      <c r="C1690" s="7"/>
      <c r="D1690" s="7"/>
      <c r="E1690" s="7"/>
      <c r="F1690" s="26"/>
      <c r="G1690" s="4"/>
      <c r="H1690" s="4" t="s">
        <v>429</v>
      </c>
      <c r="I1690" s="22"/>
      <c r="J1690" s="22"/>
      <c r="K1690" s="218"/>
      <c r="L1690" s="278"/>
      <c r="M1690" s="286">
        <v>85000</v>
      </c>
      <c r="N1690" s="20">
        <v>0</v>
      </c>
      <c r="O1690" s="218">
        <f t="shared" si="145"/>
        <v>0</v>
      </c>
      <c r="P1690" s="280"/>
      <c r="Q1690" s="298">
        <f t="shared" si="146"/>
        <v>85000</v>
      </c>
      <c r="R1690" s="21">
        <f t="shared" si="146"/>
        <v>0</v>
      </c>
      <c r="S1690" s="219">
        <f t="shared" si="143"/>
        <v>0</v>
      </c>
    </row>
    <row r="1691" spans="2:19" x14ac:dyDescent="0.2">
      <c r="B1691" s="78">
        <f t="shared" si="142"/>
        <v>80</v>
      </c>
      <c r="C1691" s="7"/>
      <c r="D1691" s="7"/>
      <c r="E1691" s="7"/>
      <c r="F1691" s="25" t="s">
        <v>207</v>
      </c>
      <c r="G1691" s="3">
        <v>711</v>
      </c>
      <c r="H1691" s="3" t="s">
        <v>224</v>
      </c>
      <c r="I1691" s="22"/>
      <c r="J1691" s="22"/>
      <c r="K1691" s="218"/>
      <c r="L1691" s="278"/>
      <c r="M1691" s="285">
        <f>M1692</f>
        <v>103800</v>
      </c>
      <c r="N1691" s="18">
        <f>N1692</f>
        <v>0</v>
      </c>
      <c r="O1691" s="218">
        <f t="shared" si="145"/>
        <v>0</v>
      </c>
      <c r="P1691" s="279"/>
      <c r="Q1691" s="300">
        <f t="shared" si="146"/>
        <v>103800</v>
      </c>
      <c r="R1691" s="19">
        <f t="shared" si="146"/>
        <v>0</v>
      </c>
      <c r="S1691" s="219">
        <f t="shared" si="143"/>
        <v>0</v>
      </c>
    </row>
    <row r="1692" spans="2:19" x14ac:dyDescent="0.2">
      <c r="B1692" s="78">
        <f t="shared" si="142"/>
        <v>81</v>
      </c>
      <c r="C1692" s="7"/>
      <c r="D1692" s="7"/>
      <c r="E1692" s="7"/>
      <c r="F1692" s="26"/>
      <c r="G1692" s="4"/>
      <c r="H1692" s="4" t="s">
        <v>644</v>
      </c>
      <c r="I1692" s="22"/>
      <c r="J1692" s="22"/>
      <c r="K1692" s="218"/>
      <c r="L1692" s="278"/>
      <c r="M1692" s="286">
        <v>103800</v>
      </c>
      <c r="N1692" s="20">
        <v>0</v>
      </c>
      <c r="O1692" s="218">
        <f t="shared" si="145"/>
        <v>0</v>
      </c>
      <c r="P1692" s="280"/>
      <c r="Q1692" s="298">
        <f t="shared" si="146"/>
        <v>103800</v>
      </c>
      <c r="R1692" s="21">
        <f t="shared" si="146"/>
        <v>0</v>
      </c>
      <c r="S1692" s="219">
        <f t="shared" si="143"/>
        <v>0</v>
      </c>
    </row>
    <row r="1693" spans="2:19" x14ac:dyDescent="0.2">
      <c r="B1693" s="78">
        <f t="shared" si="142"/>
        <v>82</v>
      </c>
      <c r="C1693" s="3"/>
      <c r="D1693" s="3"/>
      <c r="E1693" s="3"/>
      <c r="F1693" s="25" t="s">
        <v>258</v>
      </c>
      <c r="G1693" s="3">
        <v>716</v>
      </c>
      <c r="H1693" s="3" t="s">
        <v>231</v>
      </c>
      <c r="I1693" s="18"/>
      <c r="J1693" s="18"/>
      <c r="K1693" s="218"/>
      <c r="L1693" s="279"/>
      <c r="M1693" s="285">
        <f>M1694+M1695</f>
        <v>15720</v>
      </c>
      <c r="N1693" s="18">
        <f>N1694+N1695</f>
        <v>14506</v>
      </c>
      <c r="O1693" s="218">
        <f t="shared" si="145"/>
        <v>92.277353689567434</v>
      </c>
      <c r="P1693" s="279"/>
      <c r="Q1693" s="285">
        <f t="shared" si="144"/>
        <v>15720</v>
      </c>
      <c r="R1693" s="18">
        <f t="shared" si="144"/>
        <v>14506</v>
      </c>
      <c r="S1693" s="219">
        <f t="shared" si="143"/>
        <v>92.277353689567434</v>
      </c>
    </row>
    <row r="1694" spans="2:19" x14ac:dyDescent="0.2">
      <c r="B1694" s="78">
        <f t="shared" si="142"/>
        <v>83</v>
      </c>
      <c r="C1694" s="4"/>
      <c r="D1694" s="4"/>
      <c r="E1694" s="4"/>
      <c r="F1694" s="26"/>
      <c r="G1694" s="4"/>
      <c r="H1694" s="4" t="s">
        <v>380</v>
      </c>
      <c r="I1694" s="20"/>
      <c r="J1694" s="20"/>
      <c r="K1694" s="218"/>
      <c r="L1694" s="280"/>
      <c r="M1694" s="286">
        <v>6000</v>
      </c>
      <c r="N1694" s="20">
        <v>4786</v>
      </c>
      <c r="O1694" s="218">
        <f t="shared" si="145"/>
        <v>79.766666666666666</v>
      </c>
      <c r="P1694" s="280"/>
      <c r="Q1694" s="286">
        <f t="shared" si="144"/>
        <v>6000</v>
      </c>
      <c r="R1694" s="20">
        <f t="shared" si="144"/>
        <v>4786</v>
      </c>
      <c r="S1694" s="219">
        <f t="shared" si="143"/>
        <v>79.766666666666666</v>
      </c>
    </row>
    <row r="1695" spans="2:19" x14ac:dyDescent="0.2">
      <c r="B1695" s="78">
        <f t="shared" si="142"/>
        <v>84</v>
      </c>
      <c r="C1695" s="4"/>
      <c r="D1695" s="4"/>
      <c r="E1695" s="4"/>
      <c r="F1695" s="26"/>
      <c r="G1695" s="4"/>
      <c r="H1695" s="4" t="s">
        <v>609</v>
      </c>
      <c r="I1695" s="20"/>
      <c r="J1695" s="20"/>
      <c r="K1695" s="218"/>
      <c r="L1695" s="280"/>
      <c r="M1695" s="286">
        <v>9720</v>
      </c>
      <c r="N1695" s="20">
        <v>9720</v>
      </c>
      <c r="O1695" s="218">
        <f t="shared" si="145"/>
        <v>100</v>
      </c>
      <c r="P1695" s="280"/>
      <c r="Q1695" s="286">
        <f t="shared" si="144"/>
        <v>9720</v>
      </c>
      <c r="R1695" s="20">
        <f t="shared" si="144"/>
        <v>9720</v>
      </c>
      <c r="S1695" s="219">
        <f t="shared" si="143"/>
        <v>100</v>
      </c>
    </row>
    <row r="1696" spans="2:19" ht="15" x14ac:dyDescent="0.25">
      <c r="B1696" s="78">
        <f t="shared" si="142"/>
        <v>85</v>
      </c>
      <c r="C1696" s="10"/>
      <c r="D1696" s="10"/>
      <c r="E1696" s="10">
        <v>2</v>
      </c>
      <c r="F1696" s="27"/>
      <c r="G1696" s="10"/>
      <c r="H1696" s="10" t="s">
        <v>401</v>
      </c>
      <c r="I1696" s="37">
        <f>I1697</f>
        <v>10000</v>
      </c>
      <c r="J1696" s="37">
        <f>J1697</f>
        <v>9388</v>
      </c>
      <c r="K1696" s="218">
        <f t="shared" si="141"/>
        <v>93.88</v>
      </c>
      <c r="L1696" s="295"/>
      <c r="M1696" s="299">
        <v>0</v>
      </c>
      <c r="N1696" s="37">
        <v>0</v>
      </c>
      <c r="O1696" s="218"/>
      <c r="P1696" s="295"/>
      <c r="Q1696" s="299">
        <f t="shared" si="144"/>
        <v>10000</v>
      </c>
      <c r="R1696" s="37">
        <f t="shared" si="144"/>
        <v>9388</v>
      </c>
      <c r="S1696" s="219">
        <f t="shared" si="143"/>
        <v>93.88</v>
      </c>
    </row>
    <row r="1697" spans="2:19" x14ac:dyDescent="0.2">
      <c r="B1697" s="78">
        <f t="shared" si="142"/>
        <v>86</v>
      </c>
      <c r="C1697" s="7"/>
      <c r="D1697" s="7"/>
      <c r="E1697" s="7"/>
      <c r="F1697" s="24" t="s">
        <v>207</v>
      </c>
      <c r="G1697" s="7">
        <v>630</v>
      </c>
      <c r="H1697" s="7" t="s">
        <v>133</v>
      </c>
      <c r="I1697" s="22">
        <f>I1698</f>
        <v>10000</v>
      </c>
      <c r="J1697" s="22">
        <f>J1698</f>
        <v>9388</v>
      </c>
      <c r="K1697" s="218">
        <f t="shared" si="141"/>
        <v>93.88</v>
      </c>
      <c r="L1697" s="278"/>
      <c r="M1697" s="284"/>
      <c r="N1697" s="22"/>
      <c r="O1697" s="218"/>
      <c r="P1697" s="278"/>
      <c r="Q1697" s="284">
        <f t="shared" si="144"/>
        <v>10000</v>
      </c>
      <c r="R1697" s="22">
        <f t="shared" si="144"/>
        <v>9388</v>
      </c>
      <c r="S1697" s="219">
        <f t="shared" si="143"/>
        <v>93.88</v>
      </c>
    </row>
    <row r="1698" spans="2:19" x14ac:dyDescent="0.2">
      <c r="B1698" s="78">
        <f t="shared" si="142"/>
        <v>87</v>
      </c>
      <c r="C1698" s="3"/>
      <c r="D1698" s="3"/>
      <c r="E1698" s="3"/>
      <c r="F1698" s="25" t="s">
        <v>207</v>
      </c>
      <c r="G1698" s="3">
        <v>635</v>
      </c>
      <c r="H1698" s="3" t="s">
        <v>145</v>
      </c>
      <c r="I1698" s="18">
        <v>10000</v>
      </c>
      <c r="J1698" s="18">
        <v>9388</v>
      </c>
      <c r="K1698" s="218">
        <f t="shared" si="141"/>
        <v>93.88</v>
      </c>
      <c r="L1698" s="279"/>
      <c r="M1698" s="285"/>
      <c r="N1698" s="18"/>
      <c r="O1698" s="218"/>
      <c r="P1698" s="279"/>
      <c r="Q1698" s="285">
        <f t="shared" si="144"/>
        <v>10000</v>
      </c>
      <c r="R1698" s="18">
        <f t="shared" si="144"/>
        <v>9388</v>
      </c>
      <c r="S1698" s="219">
        <f t="shared" si="143"/>
        <v>93.88</v>
      </c>
    </row>
    <row r="1699" spans="2:19" ht="15" x14ac:dyDescent="0.2">
      <c r="B1699" s="78">
        <f t="shared" si="142"/>
        <v>88</v>
      </c>
      <c r="C1699" s="430">
        <v>4</v>
      </c>
      <c r="D1699" s="505" t="s">
        <v>70</v>
      </c>
      <c r="E1699" s="494"/>
      <c r="F1699" s="494"/>
      <c r="G1699" s="494"/>
      <c r="H1699" s="495"/>
      <c r="I1699" s="35">
        <f t="shared" ref="I1699:J1701" si="147">I1700</f>
        <v>22000</v>
      </c>
      <c r="J1699" s="35">
        <f t="shared" si="147"/>
        <v>22000</v>
      </c>
      <c r="K1699" s="218">
        <f t="shared" si="141"/>
        <v>100</v>
      </c>
      <c r="L1699" s="276"/>
      <c r="M1699" s="282">
        <v>0</v>
      </c>
      <c r="N1699" s="35">
        <v>0</v>
      </c>
      <c r="O1699" s="218"/>
      <c r="P1699" s="276"/>
      <c r="Q1699" s="282">
        <f t="shared" si="144"/>
        <v>22000</v>
      </c>
      <c r="R1699" s="35">
        <f t="shared" si="144"/>
        <v>22000</v>
      </c>
      <c r="S1699" s="219">
        <f t="shared" si="143"/>
        <v>100</v>
      </c>
    </row>
    <row r="1700" spans="2:19" x14ac:dyDescent="0.2">
      <c r="B1700" s="78">
        <f t="shared" si="142"/>
        <v>89</v>
      </c>
      <c r="C1700" s="7"/>
      <c r="D1700" s="7"/>
      <c r="E1700" s="7"/>
      <c r="F1700" s="24" t="s">
        <v>207</v>
      </c>
      <c r="G1700" s="7">
        <v>640</v>
      </c>
      <c r="H1700" s="7" t="s">
        <v>141</v>
      </c>
      <c r="I1700" s="22">
        <f t="shared" si="147"/>
        <v>22000</v>
      </c>
      <c r="J1700" s="22">
        <f t="shared" si="147"/>
        <v>22000</v>
      </c>
      <c r="K1700" s="218">
        <f t="shared" si="141"/>
        <v>100</v>
      </c>
      <c r="L1700" s="278"/>
      <c r="M1700" s="284"/>
      <c r="N1700" s="22"/>
      <c r="O1700" s="218"/>
      <c r="P1700" s="278"/>
      <c r="Q1700" s="284">
        <f t="shared" si="144"/>
        <v>22000</v>
      </c>
      <c r="R1700" s="22">
        <f t="shared" si="144"/>
        <v>22000</v>
      </c>
      <c r="S1700" s="219">
        <f t="shared" si="143"/>
        <v>100</v>
      </c>
    </row>
    <row r="1701" spans="2:19" x14ac:dyDescent="0.2">
      <c r="B1701" s="78">
        <f t="shared" si="142"/>
        <v>90</v>
      </c>
      <c r="C1701" s="3"/>
      <c r="D1701" s="3"/>
      <c r="E1701" s="3"/>
      <c r="F1701" s="25" t="s">
        <v>207</v>
      </c>
      <c r="G1701" s="3">
        <v>642</v>
      </c>
      <c r="H1701" s="3" t="s">
        <v>142</v>
      </c>
      <c r="I1701" s="18">
        <f t="shared" si="147"/>
        <v>22000</v>
      </c>
      <c r="J1701" s="18">
        <f t="shared" si="147"/>
        <v>22000</v>
      </c>
      <c r="K1701" s="218">
        <f t="shared" si="141"/>
        <v>100</v>
      </c>
      <c r="L1701" s="279"/>
      <c r="M1701" s="285"/>
      <c r="N1701" s="18"/>
      <c r="O1701" s="218"/>
      <c r="P1701" s="279"/>
      <c r="Q1701" s="285">
        <f t="shared" si="144"/>
        <v>22000</v>
      </c>
      <c r="R1701" s="18">
        <f t="shared" si="144"/>
        <v>22000</v>
      </c>
      <c r="S1701" s="219">
        <f t="shared" si="143"/>
        <v>100</v>
      </c>
    </row>
    <row r="1702" spans="2:19" x14ac:dyDescent="0.2">
      <c r="B1702" s="78">
        <f t="shared" si="142"/>
        <v>91</v>
      </c>
      <c r="C1702" s="4"/>
      <c r="D1702" s="4"/>
      <c r="E1702" s="4"/>
      <c r="F1702" s="26"/>
      <c r="G1702" s="4"/>
      <c r="H1702" s="4" t="s">
        <v>343</v>
      </c>
      <c r="I1702" s="20">
        <v>22000</v>
      </c>
      <c r="J1702" s="20">
        <v>22000</v>
      </c>
      <c r="K1702" s="218">
        <f t="shared" si="141"/>
        <v>100</v>
      </c>
      <c r="L1702" s="280"/>
      <c r="M1702" s="286"/>
      <c r="N1702" s="20"/>
      <c r="O1702" s="218"/>
      <c r="P1702" s="280"/>
      <c r="Q1702" s="286">
        <f t="shared" ref="Q1702:R1726" si="148">I1702+M1702</f>
        <v>22000</v>
      </c>
      <c r="R1702" s="20">
        <f t="shared" si="148"/>
        <v>22000</v>
      </c>
      <c r="S1702" s="219">
        <f t="shared" si="143"/>
        <v>100</v>
      </c>
    </row>
    <row r="1703" spans="2:19" ht="15" x14ac:dyDescent="0.2">
      <c r="B1703" s="78">
        <f t="shared" si="142"/>
        <v>92</v>
      </c>
      <c r="C1703" s="430">
        <v>5</v>
      </c>
      <c r="D1703" s="505" t="s">
        <v>49</v>
      </c>
      <c r="E1703" s="494"/>
      <c r="F1703" s="494"/>
      <c r="G1703" s="494"/>
      <c r="H1703" s="495"/>
      <c r="I1703" s="35">
        <f>I1704</f>
        <v>14600</v>
      </c>
      <c r="J1703" s="35">
        <f>J1704</f>
        <v>9810</v>
      </c>
      <c r="K1703" s="218">
        <f t="shared" si="141"/>
        <v>67.191780821917817</v>
      </c>
      <c r="L1703" s="276"/>
      <c r="M1703" s="282">
        <v>0</v>
      </c>
      <c r="N1703" s="35">
        <v>0</v>
      </c>
      <c r="O1703" s="218"/>
      <c r="P1703" s="276"/>
      <c r="Q1703" s="282">
        <f t="shared" si="148"/>
        <v>14600</v>
      </c>
      <c r="R1703" s="35">
        <f t="shared" si="148"/>
        <v>9810</v>
      </c>
      <c r="S1703" s="219">
        <f t="shared" si="143"/>
        <v>67.191780821917817</v>
      </c>
    </row>
    <row r="1704" spans="2:19" ht="15" x14ac:dyDescent="0.25">
      <c r="B1704" s="78">
        <f t="shared" si="142"/>
        <v>93</v>
      </c>
      <c r="C1704" s="10"/>
      <c r="D1704" s="10"/>
      <c r="E1704" s="10">
        <v>2</v>
      </c>
      <c r="F1704" s="27"/>
      <c r="G1704" s="10"/>
      <c r="H1704" s="10" t="s">
        <v>401</v>
      </c>
      <c r="I1704" s="37">
        <f>I1705</f>
        <v>14600</v>
      </c>
      <c r="J1704" s="37">
        <f>J1705</f>
        <v>9810</v>
      </c>
      <c r="K1704" s="218">
        <f t="shared" si="141"/>
        <v>67.191780821917817</v>
      </c>
      <c r="L1704" s="295"/>
      <c r="M1704" s="299"/>
      <c r="N1704" s="37"/>
      <c r="O1704" s="218"/>
      <c r="P1704" s="295"/>
      <c r="Q1704" s="299">
        <f t="shared" si="148"/>
        <v>14600</v>
      </c>
      <c r="R1704" s="37">
        <f t="shared" si="148"/>
        <v>9810</v>
      </c>
      <c r="S1704" s="219">
        <f t="shared" si="143"/>
        <v>67.191780821917817</v>
      </c>
    </row>
    <row r="1705" spans="2:19" x14ac:dyDescent="0.2">
      <c r="B1705" s="78">
        <f t="shared" si="142"/>
        <v>94</v>
      </c>
      <c r="C1705" s="7"/>
      <c r="D1705" s="7"/>
      <c r="E1705" s="7"/>
      <c r="F1705" s="24" t="s">
        <v>207</v>
      </c>
      <c r="G1705" s="7">
        <v>630</v>
      </c>
      <c r="H1705" s="7" t="s">
        <v>133</v>
      </c>
      <c r="I1705" s="22">
        <f>SUM(I1706:I1709)</f>
        <v>14600</v>
      </c>
      <c r="J1705" s="22">
        <f>SUM(J1706:J1709)</f>
        <v>9810</v>
      </c>
      <c r="K1705" s="218">
        <f t="shared" si="141"/>
        <v>67.191780821917817</v>
      </c>
      <c r="L1705" s="278"/>
      <c r="M1705" s="284"/>
      <c r="N1705" s="22"/>
      <c r="O1705" s="218"/>
      <c r="P1705" s="278"/>
      <c r="Q1705" s="284">
        <f t="shared" si="148"/>
        <v>14600</v>
      </c>
      <c r="R1705" s="22">
        <f t="shared" si="148"/>
        <v>9810</v>
      </c>
      <c r="S1705" s="219">
        <f t="shared" si="143"/>
        <v>67.191780821917817</v>
      </c>
    </row>
    <row r="1706" spans="2:19" x14ac:dyDescent="0.2">
      <c r="B1706" s="78">
        <f t="shared" si="142"/>
        <v>95</v>
      </c>
      <c r="C1706" s="3"/>
      <c r="D1706" s="3"/>
      <c r="E1706" s="3"/>
      <c r="F1706" s="25" t="s">
        <v>207</v>
      </c>
      <c r="G1706" s="3">
        <v>632</v>
      </c>
      <c r="H1706" s="3" t="s">
        <v>146</v>
      </c>
      <c r="I1706" s="18">
        <v>10300</v>
      </c>
      <c r="J1706" s="18">
        <v>6619</v>
      </c>
      <c r="K1706" s="218">
        <f t="shared" si="141"/>
        <v>64.262135922330103</v>
      </c>
      <c r="L1706" s="279"/>
      <c r="M1706" s="285"/>
      <c r="N1706" s="18"/>
      <c r="O1706" s="218"/>
      <c r="P1706" s="279"/>
      <c r="Q1706" s="285">
        <f t="shared" si="148"/>
        <v>10300</v>
      </c>
      <c r="R1706" s="18">
        <f t="shared" si="148"/>
        <v>6619</v>
      </c>
      <c r="S1706" s="219">
        <f t="shared" si="143"/>
        <v>64.262135922330103</v>
      </c>
    </row>
    <row r="1707" spans="2:19" x14ac:dyDescent="0.2">
      <c r="B1707" s="78">
        <f t="shared" si="142"/>
        <v>96</v>
      </c>
      <c r="C1707" s="3"/>
      <c r="D1707" s="3"/>
      <c r="E1707" s="3"/>
      <c r="F1707" s="25" t="s">
        <v>207</v>
      </c>
      <c r="G1707" s="3">
        <v>633</v>
      </c>
      <c r="H1707" s="3" t="s">
        <v>137</v>
      </c>
      <c r="I1707" s="18">
        <f>2000+1000</f>
        <v>3000</v>
      </c>
      <c r="J1707" s="18">
        <v>2482</v>
      </c>
      <c r="K1707" s="218">
        <f t="shared" si="141"/>
        <v>82.733333333333334</v>
      </c>
      <c r="L1707" s="279"/>
      <c r="M1707" s="285"/>
      <c r="N1707" s="18"/>
      <c r="O1707" s="218"/>
      <c r="P1707" s="279"/>
      <c r="Q1707" s="285">
        <f t="shared" si="148"/>
        <v>3000</v>
      </c>
      <c r="R1707" s="18">
        <f t="shared" si="148"/>
        <v>2482</v>
      </c>
      <c r="S1707" s="219">
        <f t="shared" si="143"/>
        <v>82.733333333333334</v>
      </c>
    </row>
    <row r="1708" spans="2:19" x14ac:dyDescent="0.2">
      <c r="B1708" s="78">
        <f t="shared" si="142"/>
        <v>97</v>
      </c>
      <c r="C1708" s="3"/>
      <c r="D1708" s="3"/>
      <c r="E1708" s="3"/>
      <c r="F1708" s="25" t="s">
        <v>207</v>
      </c>
      <c r="G1708" s="3">
        <v>635</v>
      </c>
      <c r="H1708" s="3" t="s">
        <v>145</v>
      </c>
      <c r="I1708" s="18">
        <v>400</v>
      </c>
      <c r="J1708" s="18">
        <v>341</v>
      </c>
      <c r="K1708" s="218">
        <f t="shared" si="141"/>
        <v>85.25</v>
      </c>
      <c r="L1708" s="279"/>
      <c r="M1708" s="285"/>
      <c r="N1708" s="18"/>
      <c r="O1708" s="218"/>
      <c r="P1708" s="279"/>
      <c r="Q1708" s="285">
        <f t="shared" si="148"/>
        <v>400</v>
      </c>
      <c r="R1708" s="18">
        <f t="shared" si="148"/>
        <v>341</v>
      </c>
      <c r="S1708" s="219">
        <f t="shared" si="143"/>
        <v>85.25</v>
      </c>
    </row>
    <row r="1709" spans="2:19" x14ac:dyDescent="0.2">
      <c r="B1709" s="78">
        <f t="shared" si="142"/>
        <v>98</v>
      </c>
      <c r="C1709" s="3"/>
      <c r="D1709" s="3"/>
      <c r="E1709" s="3"/>
      <c r="F1709" s="25" t="s">
        <v>207</v>
      </c>
      <c r="G1709" s="3">
        <v>637</v>
      </c>
      <c r="H1709" s="3" t="s">
        <v>134</v>
      </c>
      <c r="I1709" s="18">
        <v>900</v>
      </c>
      <c r="J1709" s="18">
        <v>368</v>
      </c>
      <c r="K1709" s="218">
        <f t="shared" si="141"/>
        <v>40.888888888888893</v>
      </c>
      <c r="L1709" s="279"/>
      <c r="M1709" s="285"/>
      <c r="N1709" s="18"/>
      <c r="O1709" s="218"/>
      <c r="P1709" s="279"/>
      <c r="Q1709" s="285">
        <f t="shared" si="148"/>
        <v>900</v>
      </c>
      <c r="R1709" s="18">
        <f t="shared" si="148"/>
        <v>368</v>
      </c>
      <c r="S1709" s="219">
        <f t="shared" si="143"/>
        <v>40.888888888888893</v>
      </c>
    </row>
    <row r="1710" spans="2:19" ht="15" x14ac:dyDescent="0.2">
      <c r="B1710" s="78">
        <f t="shared" si="142"/>
        <v>99</v>
      </c>
      <c r="C1710" s="430">
        <v>6</v>
      </c>
      <c r="D1710" s="505" t="s">
        <v>64</v>
      </c>
      <c r="E1710" s="494"/>
      <c r="F1710" s="494"/>
      <c r="G1710" s="494"/>
      <c r="H1710" s="495"/>
      <c r="I1710" s="35">
        <f>I1711</f>
        <v>501455</v>
      </c>
      <c r="J1710" s="35">
        <f>J1711</f>
        <v>427241</v>
      </c>
      <c r="K1710" s="218">
        <f t="shared" si="141"/>
        <v>85.200267222382863</v>
      </c>
      <c r="L1710" s="276"/>
      <c r="M1710" s="282">
        <f>M1711</f>
        <v>39200</v>
      </c>
      <c r="N1710" s="35">
        <f>N1711</f>
        <v>26149</v>
      </c>
      <c r="O1710" s="218">
        <f t="shared" si="145"/>
        <v>66.70663265306122</v>
      </c>
      <c r="P1710" s="276"/>
      <c r="Q1710" s="282">
        <f t="shared" si="148"/>
        <v>540655</v>
      </c>
      <c r="R1710" s="35">
        <f t="shared" si="148"/>
        <v>453390</v>
      </c>
      <c r="S1710" s="219">
        <f t="shared" si="143"/>
        <v>83.859392773580197</v>
      </c>
    </row>
    <row r="1711" spans="2:19" ht="15" x14ac:dyDescent="0.25">
      <c r="B1711" s="78">
        <f t="shared" si="142"/>
        <v>100</v>
      </c>
      <c r="C1711" s="10"/>
      <c r="D1711" s="10"/>
      <c r="E1711" s="10">
        <v>2</v>
      </c>
      <c r="F1711" s="27"/>
      <c r="G1711" s="10"/>
      <c r="H1711" s="10" t="s">
        <v>401</v>
      </c>
      <c r="I1711" s="37">
        <f>I1712+I1713+I1714+I1721+I1722</f>
        <v>501455</v>
      </c>
      <c r="J1711" s="37">
        <f>J1712+J1713+J1714+J1721+J1722</f>
        <v>427241</v>
      </c>
      <c r="K1711" s="218">
        <f t="shared" si="141"/>
        <v>85.200267222382863</v>
      </c>
      <c r="L1711" s="295"/>
      <c r="M1711" s="299">
        <f>M1722</f>
        <v>39200</v>
      </c>
      <c r="N1711" s="37">
        <f>N1722</f>
        <v>26149</v>
      </c>
      <c r="O1711" s="218">
        <f t="shared" si="145"/>
        <v>66.70663265306122</v>
      </c>
      <c r="P1711" s="295"/>
      <c r="Q1711" s="299">
        <f t="shared" si="148"/>
        <v>540655</v>
      </c>
      <c r="R1711" s="37">
        <f t="shared" si="148"/>
        <v>453390</v>
      </c>
      <c r="S1711" s="219">
        <f t="shared" si="143"/>
        <v>83.859392773580197</v>
      </c>
    </row>
    <row r="1712" spans="2:19" x14ac:dyDescent="0.2">
      <c r="B1712" s="78">
        <f t="shared" si="142"/>
        <v>101</v>
      </c>
      <c r="C1712" s="7"/>
      <c r="D1712" s="7"/>
      <c r="E1712" s="7"/>
      <c r="F1712" s="24" t="s">
        <v>207</v>
      </c>
      <c r="G1712" s="7">
        <v>610</v>
      </c>
      <c r="H1712" s="7" t="s">
        <v>143</v>
      </c>
      <c r="I1712" s="22">
        <f>85400+100000+52195+34300</f>
        <v>271895</v>
      </c>
      <c r="J1712" s="22">
        <v>246294</v>
      </c>
      <c r="K1712" s="218">
        <f t="shared" si="141"/>
        <v>90.584232884017723</v>
      </c>
      <c r="L1712" s="278"/>
      <c r="M1712" s="284"/>
      <c r="N1712" s="22"/>
      <c r="O1712" s="218"/>
      <c r="P1712" s="278"/>
      <c r="Q1712" s="284">
        <f t="shared" si="148"/>
        <v>271895</v>
      </c>
      <c r="R1712" s="22">
        <f t="shared" si="148"/>
        <v>246294</v>
      </c>
      <c r="S1712" s="219">
        <f t="shared" si="143"/>
        <v>90.584232884017723</v>
      </c>
    </row>
    <row r="1713" spans="2:19" x14ac:dyDescent="0.2">
      <c r="B1713" s="78">
        <f t="shared" si="142"/>
        <v>102</v>
      </c>
      <c r="C1713" s="7"/>
      <c r="D1713" s="7"/>
      <c r="E1713" s="7"/>
      <c r="F1713" s="24" t="s">
        <v>207</v>
      </c>
      <c r="G1713" s="7">
        <v>620</v>
      </c>
      <c r="H1713" s="7" t="s">
        <v>136</v>
      </c>
      <c r="I1713" s="22">
        <f>45700+40000+20145+13000</f>
        <v>118845</v>
      </c>
      <c r="J1713" s="22">
        <v>95282</v>
      </c>
      <c r="K1713" s="218">
        <f t="shared" si="141"/>
        <v>80.173335016197569</v>
      </c>
      <c r="L1713" s="278"/>
      <c r="M1713" s="284"/>
      <c r="N1713" s="22"/>
      <c r="O1713" s="218"/>
      <c r="P1713" s="278"/>
      <c r="Q1713" s="284">
        <f t="shared" si="148"/>
        <v>118845</v>
      </c>
      <c r="R1713" s="22">
        <f t="shared" si="148"/>
        <v>95282</v>
      </c>
      <c r="S1713" s="219">
        <f t="shared" si="143"/>
        <v>80.173335016197569</v>
      </c>
    </row>
    <row r="1714" spans="2:19" x14ac:dyDescent="0.2">
      <c r="B1714" s="78">
        <f t="shared" si="142"/>
        <v>103</v>
      </c>
      <c r="C1714" s="7"/>
      <c r="D1714" s="7"/>
      <c r="E1714" s="7"/>
      <c r="F1714" s="24" t="s">
        <v>207</v>
      </c>
      <c r="G1714" s="7">
        <v>630</v>
      </c>
      <c r="H1714" s="7" t="s">
        <v>133</v>
      </c>
      <c r="I1714" s="22">
        <f>SUM(I1715:I1720)</f>
        <v>107850</v>
      </c>
      <c r="J1714" s="22">
        <f>SUM(J1715:J1720)</f>
        <v>84631</v>
      </c>
      <c r="K1714" s="218">
        <f t="shared" si="141"/>
        <v>78.471024571163653</v>
      </c>
      <c r="L1714" s="278"/>
      <c r="M1714" s="284"/>
      <c r="N1714" s="22"/>
      <c r="O1714" s="218"/>
      <c r="P1714" s="278"/>
      <c r="Q1714" s="284">
        <f t="shared" si="148"/>
        <v>107850</v>
      </c>
      <c r="R1714" s="22">
        <f t="shared" si="148"/>
        <v>84631</v>
      </c>
      <c r="S1714" s="219">
        <f t="shared" si="143"/>
        <v>78.471024571163653</v>
      </c>
    </row>
    <row r="1715" spans="2:19" x14ac:dyDescent="0.2">
      <c r="B1715" s="78">
        <f t="shared" si="142"/>
        <v>104</v>
      </c>
      <c r="C1715" s="3"/>
      <c r="D1715" s="3"/>
      <c r="E1715" s="3"/>
      <c r="F1715" s="25" t="s">
        <v>207</v>
      </c>
      <c r="G1715" s="3">
        <v>631</v>
      </c>
      <c r="H1715" s="3" t="s">
        <v>139</v>
      </c>
      <c r="I1715" s="18">
        <v>100</v>
      </c>
      <c r="J1715" s="18">
        <v>39</v>
      </c>
      <c r="K1715" s="218">
        <f t="shared" si="141"/>
        <v>39</v>
      </c>
      <c r="L1715" s="279"/>
      <c r="M1715" s="285"/>
      <c r="N1715" s="18"/>
      <c r="O1715" s="218"/>
      <c r="P1715" s="279"/>
      <c r="Q1715" s="285">
        <f t="shared" si="148"/>
        <v>100</v>
      </c>
      <c r="R1715" s="18">
        <f t="shared" si="148"/>
        <v>39</v>
      </c>
      <c r="S1715" s="219">
        <f t="shared" si="143"/>
        <v>39</v>
      </c>
    </row>
    <row r="1716" spans="2:19" x14ac:dyDescent="0.2">
      <c r="B1716" s="78">
        <f t="shared" si="142"/>
        <v>105</v>
      </c>
      <c r="C1716" s="3"/>
      <c r="D1716" s="3"/>
      <c r="E1716" s="3"/>
      <c r="F1716" s="25" t="s">
        <v>207</v>
      </c>
      <c r="G1716" s="3">
        <v>632</v>
      </c>
      <c r="H1716" s="3" t="s">
        <v>146</v>
      </c>
      <c r="I1716" s="18">
        <f>3700+2400</f>
        <v>6100</v>
      </c>
      <c r="J1716" s="18">
        <v>4920</v>
      </c>
      <c r="K1716" s="218">
        <f t="shared" si="141"/>
        <v>80.655737704918025</v>
      </c>
      <c r="L1716" s="279"/>
      <c r="M1716" s="285"/>
      <c r="N1716" s="18"/>
      <c r="O1716" s="218"/>
      <c r="P1716" s="279"/>
      <c r="Q1716" s="285">
        <f t="shared" si="148"/>
        <v>6100</v>
      </c>
      <c r="R1716" s="18">
        <f t="shared" si="148"/>
        <v>4920</v>
      </c>
      <c r="S1716" s="219">
        <f t="shared" si="143"/>
        <v>80.655737704918025</v>
      </c>
    </row>
    <row r="1717" spans="2:19" x14ac:dyDescent="0.2">
      <c r="B1717" s="78">
        <f t="shared" si="142"/>
        <v>106</v>
      </c>
      <c r="C1717" s="3"/>
      <c r="D1717" s="3"/>
      <c r="E1717" s="3"/>
      <c r="F1717" s="25" t="s">
        <v>207</v>
      </c>
      <c r="G1717" s="3">
        <v>633</v>
      </c>
      <c r="H1717" s="3" t="s">
        <v>137</v>
      </c>
      <c r="I1717" s="18">
        <f>5250+1200+2300</f>
        <v>8750</v>
      </c>
      <c r="J1717" s="18">
        <v>8440</v>
      </c>
      <c r="K1717" s="218">
        <f t="shared" si="141"/>
        <v>96.457142857142856</v>
      </c>
      <c r="L1717" s="279"/>
      <c r="M1717" s="285"/>
      <c r="N1717" s="18"/>
      <c r="O1717" s="218"/>
      <c r="P1717" s="279"/>
      <c r="Q1717" s="285">
        <f t="shared" si="148"/>
        <v>8750</v>
      </c>
      <c r="R1717" s="18">
        <f t="shared" si="148"/>
        <v>8440</v>
      </c>
      <c r="S1717" s="219">
        <f t="shared" si="143"/>
        <v>96.457142857142856</v>
      </c>
    </row>
    <row r="1718" spans="2:19" x14ac:dyDescent="0.2">
      <c r="B1718" s="78">
        <f t="shared" si="142"/>
        <v>107</v>
      </c>
      <c r="C1718" s="3"/>
      <c r="D1718" s="3"/>
      <c r="E1718" s="3"/>
      <c r="F1718" s="25" t="s">
        <v>207</v>
      </c>
      <c r="G1718" s="3">
        <v>634</v>
      </c>
      <c r="H1718" s="3" t="s">
        <v>144</v>
      </c>
      <c r="I1718" s="18">
        <f>11850+4200</f>
        <v>16050</v>
      </c>
      <c r="J1718" s="18">
        <v>14143</v>
      </c>
      <c r="K1718" s="218">
        <f t="shared" si="141"/>
        <v>88.118380062305292</v>
      </c>
      <c r="L1718" s="279"/>
      <c r="M1718" s="285"/>
      <c r="N1718" s="18"/>
      <c r="O1718" s="218"/>
      <c r="P1718" s="279"/>
      <c r="Q1718" s="285">
        <f t="shared" si="148"/>
        <v>16050</v>
      </c>
      <c r="R1718" s="18">
        <f t="shared" si="148"/>
        <v>14143</v>
      </c>
      <c r="S1718" s="219">
        <f t="shared" si="143"/>
        <v>88.118380062305292</v>
      </c>
    </row>
    <row r="1719" spans="2:19" x14ac:dyDescent="0.2">
      <c r="B1719" s="78">
        <f t="shared" si="142"/>
        <v>108</v>
      </c>
      <c r="C1719" s="3"/>
      <c r="D1719" s="3"/>
      <c r="E1719" s="3"/>
      <c r="F1719" s="25" t="s">
        <v>207</v>
      </c>
      <c r="G1719" s="3">
        <v>635</v>
      </c>
      <c r="H1719" s="3" t="s">
        <v>145</v>
      </c>
      <c r="I1719" s="18">
        <v>1400</v>
      </c>
      <c r="J1719" s="18">
        <v>5</v>
      </c>
      <c r="K1719" s="218">
        <f t="shared" si="141"/>
        <v>0.35714285714285715</v>
      </c>
      <c r="L1719" s="279"/>
      <c r="M1719" s="285"/>
      <c r="N1719" s="18"/>
      <c r="O1719" s="218"/>
      <c r="P1719" s="279"/>
      <c r="Q1719" s="285">
        <f t="shared" si="148"/>
        <v>1400</v>
      </c>
      <c r="R1719" s="18">
        <f t="shared" si="148"/>
        <v>5</v>
      </c>
      <c r="S1719" s="219">
        <f t="shared" si="143"/>
        <v>0.35714285714285715</v>
      </c>
    </row>
    <row r="1720" spans="2:19" x14ac:dyDescent="0.2">
      <c r="B1720" s="78">
        <f t="shared" si="142"/>
        <v>109</v>
      </c>
      <c r="C1720" s="3"/>
      <c r="D1720" s="3"/>
      <c r="E1720" s="3"/>
      <c r="F1720" s="25" t="s">
        <v>207</v>
      </c>
      <c r="G1720" s="3">
        <v>637</v>
      </c>
      <c r="H1720" s="3" t="s">
        <v>134</v>
      </c>
      <c r="I1720" s="18">
        <f>71650+6150-2350</f>
        <v>75450</v>
      </c>
      <c r="J1720" s="18">
        <v>57084</v>
      </c>
      <c r="K1720" s="218">
        <f t="shared" si="141"/>
        <v>75.658051689860841</v>
      </c>
      <c r="L1720" s="279"/>
      <c r="M1720" s="285"/>
      <c r="N1720" s="18"/>
      <c r="O1720" s="218"/>
      <c r="P1720" s="279"/>
      <c r="Q1720" s="285">
        <f t="shared" si="148"/>
        <v>75450</v>
      </c>
      <c r="R1720" s="18">
        <f t="shared" si="148"/>
        <v>57084</v>
      </c>
      <c r="S1720" s="219">
        <f t="shared" si="143"/>
        <v>75.658051689860841</v>
      </c>
    </row>
    <row r="1721" spans="2:19" x14ac:dyDescent="0.2">
      <c r="B1721" s="78">
        <f t="shared" si="142"/>
        <v>110</v>
      </c>
      <c r="C1721" s="7"/>
      <c r="D1721" s="7"/>
      <c r="E1721" s="7"/>
      <c r="F1721" s="24" t="s">
        <v>207</v>
      </c>
      <c r="G1721" s="7">
        <v>640</v>
      </c>
      <c r="H1721" s="7" t="s">
        <v>141</v>
      </c>
      <c r="I1721" s="22">
        <f>600+2265</f>
        <v>2865</v>
      </c>
      <c r="J1721" s="22">
        <v>1034</v>
      </c>
      <c r="K1721" s="218">
        <f t="shared" si="141"/>
        <v>36.090750436300176</v>
      </c>
      <c r="L1721" s="278"/>
      <c r="M1721" s="284"/>
      <c r="N1721" s="22"/>
      <c r="O1721" s="218"/>
      <c r="P1721" s="278"/>
      <c r="Q1721" s="284">
        <f t="shared" si="148"/>
        <v>2865</v>
      </c>
      <c r="R1721" s="22">
        <f t="shared" si="148"/>
        <v>1034</v>
      </c>
      <c r="S1721" s="219">
        <f t="shared" si="143"/>
        <v>36.090750436300176</v>
      </c>
    </row>
    <row r="1722" spans="2:19" x14ac:dyDescent="0.2">
      <c r="B1722" s="78">
        <f t="shared" si="142"/>
        <v>111</v>
      </c>
      <c r="C1722" s="7"/>
      <c r="D1722" s="7"/>
      <c r="E1722" s="7"/>
      <c r="F1722" s="24" t="s">
        <v>207</v>
      </c>
      <c r="G1722" s="7">
        <v>710</v>
      </c>
      <c r="H1722" s="7" t="s">
        <v>188</v>
      </c>
      <c r="I1722" s="22"/>
      <c r="J1722" s="22"/>
      <c r="K1722" s="218"/>
      <c r="L1722" s="278"/>
      <c r="M1722" s="284">
        <f>M1723+M1725</f>
        <v>39200</v>
      </c>
      <c r="N1722" s="22">
        <f>N1723+N1725</f>
        <v>26149</v>
      </c>
      <c r="O1722" s="218">
        <f t="shared" si="145"/>
        <v>66.70663265306122</v>
      </c>
      <c r="P1722" s="278"/>
      <c r="Q1722" s="284">
        <f t="shared" si="148"/>
        <v>39200</v>
      </c>
      <c r="R1722" s="22">
        <f t="shared" si="148"/>
        <v>26149</v>
      </c>
      <c r="S1722" s="219">
        <f t="shared" si="143"/>
        <v>66.70663265306122</v>
      </c>
    </row>
    <row r="1723" spans="2:19" x14ac:dyDescent="0.2">
      <c r="B1723" s="78">
        <f t="shared" si="142"/>
        <v>112</v>
      </c>
      <c r="C1723" s="3"/>
      <c r="D1723" s="3"/>
      <c r="E1723" s="3"/>
      <c r="F1723" s="25" t="s">
        <v>207</v>
      </c>
      <c r="G1723" s="3">
        <v>711</v>
      </c>
      <c r="H1723" s="3" t="s">
        <v>224</v>
      </c>
      <c r="I1723" s="18"/>
      <c r="J1723" s="18"/>
      <c r="K1723" s="218"/>
      <c r="L1723" s="279"/>
      <c r="M1723" s="285">
        <f>M1724</f>
        <v>26200</v>
      </c>
      <c r="N1723" s="18">
        <f>N1724</f>
        <v>26149</v>
      </c>
      <c r="O1723" s="218">
        <f t="shared" si="145"/>
        <v>99.805343511450388</v>
      </c>
      <c r="P1723" s="279"/>
      <c r="Q1723" s="285">
        <f t="shared" si="148"/>
        <v>26200</v>
      </c>
      <c r="R1723" s="18">
        <f t="shared" si="148"/>
        <v>26149</v>
      </c>
      <c r="S1723" s="219">
        <f t="shared" si="143"/>
        <v>99.805343511450388</v>
      </c>
    </row>
    <row r="1724" spans="2:19" x14ac:dyDescent="0.2">
      <c r="B1724" s="163">
        <f>B1723+1</f>
        <v>113</v>
      </c>
      <c r="C1724" s="129"/>
      <c r="D1724" s="129"/>
      <c r="E1724" s="129"/>
      <c r="F1724" s="180"/>
      <c r="G1724" s="129"/>
      <c r="H1724" s="129" t="s">
        <v>372</v>
      </c>
      <c r="I1724" s="167"/>
      <c r="J1724" s="167"/>
      <c r="K1724" s="218"/>
      <c r="L1724" s="280"/>
      <c r="M1724" s="355">
        <f>28000-1800</f>
        <v>26200</v>
      </c>
      <c r="N1724" s="167">
        <v>26149</v>
      </c>
      <c r="O1724" s="218">
        <f t="shared" si="145"/>
        <v>99.805343511450388</v>
      </c>
      <c r="P1724" s="280"/>
      <c r="Q1724" s="355">
        <f t="shared" si="148"/>
        <v>26200</v>
      </c>
      <c r="R1724" s="167">
        <f t="shared" si="148"/>
        <v>26149</v>
      </c>
      <c r="S1724" s="219">
        <f t="shared" si="143"/>
        <v>99.805343511450388</v>
      </c>
    </row>
    <row r="1725" spans="2:19" x14ac:dyDescent="0.2">
      <c r="B1725" s="78">
        <f t="shared" si="142"/>
        <v>114</v>
      </c>
      <c r="C1725" s="3"/>
      <c r="D1725" s="3"/>
      <c r="E1725" s="3"/>
      <c r="F1725" s="25" t="s">
        <v>207</v>
      </c>
      <c r="G1725" s="3">
        <v>714</v>
      </c>
      <c r="H1725" s="3" t="s">
        <v>189</v>
      </c>
      <c r="I1725" s="18"/>
      <c r="J1725" s="18"/>
      <c r="K1725" s="218"/>
      <c r="L1725" s="279"/>
      <c r="M1725" s="285">
        <f>M1726</f>
        <v>13000</v>
      </c>
      <c r="N1725" s="18">
        <f>N1726</f>
        <v>0</v>
      </c>
      <c r="O1725" s="218">
        <f t="shared" si="145"/>
        <v>0</v>
      </c>
      <c r="P1725" s="279"/>
      <c r="Q1725" s="285">
        <f t="shared" si="148"/>
        <v>13000</v>
      </c>
      <c r="R1725" s="18">
        <f t="shared" si="148"/>
        <v>0</v>
      </c>
      <c r="S1725" s="219">
        <f t="shared" si="143"/>
        <v>0</v>
      </c>
    </row>
    <row r="1726" spans="2:19" ht="13.5" thickBot="1" x14ac:dyDescent="0.25">
      <c r="B1726" s="83">
        <f>B1725+1</f>
        <v>115</v>
      </c>
      <c r="C1726" s="89"/>
      <c r="D1726" s="89"/>
      <c r="E1726" s="89"/>
      <c r="F1726" s="94"/>
      <c r="G1726" s="89"/>
      <c r="H1726" s="89" t="s">
        <v>582</v>
      </c>
      <c r="I1726" s="92"/>
      <c r="J1726" s="92"/>
      <c r="K1726" s="269"/>
      <c r="L1726" s="280"/>
      <c r="M1726" s="290">
        <v>13000</v>
      </c>
      <c r="N1726" s="92">
        <v>0</v>
      </c>
      <c r="O1726" s="269">
        <f t="shared" si="145"/>
        <v>0</v>
      </c>
      <c r="P1726" s="280"/>
      <c r="Q1726" s="290">
        <f t="shared" si="148"/>
        <v>13000</v>
      </c>
      <c r="R1726" s="92">
        <f t="shared" si="148"/>
        <v>0</v>
      </c>
      <c r="S1726" s="259">
        <f t="shared" si="143"/>
        <v>0</v>
      </c>
    </row>
    <row r="1762" spans="2:19" ht="27.75" thickBot="1" x14ac:dyDescent="0.4">
      <c r="B1762" s="515" t="s">
        <v>31</v>
      </c>
      <c r="C1762" s="516"/>
      <c r="D1762" s="516"/>
      <c r="E1762" s="516"/>
      <c r="F1762" s="516"/>
      <c r="G1762" s="516"/>
      <c r="H1762" s="516"/>
      <c r="I1762" s="516"/>
      <c r="J1762" s="516"/>
      <c r="K1762" s="516"/>
      <c r="L1762" s="516"/>
      <c r="M1762" s="516"/>
      <c r="N1762" s="516"/>
      <c r="O1762" s="516"/>
      <c r="P1762" s="516"/>
      <c r="Q1762" s="516"/>
    </row>
    <row r="1763" spans="2:19" ht="13.5" thickBot="1" x14ac:dyDescent="0.25">
      <c r="B1763" s="528" t="s">
        <v>352</v>
      </c>
      <c r="C1763" s="529"/>
      <c r="D1763" s="529"/>
      <c r="E1763" s="529"/>
      <c r="F1763" s="529"/>
      <c r="G1763" s="529"/>
      <c r="H1763" s="529"/>
      <c r="I1763" s="529"/>
      <c r="J1763" s="529"/>
      <c r="K1763" s="529"/>
      <c r="L1763" s="529"/>
      <c r="M1763" s="529"/>
      <c r="N1763" s="529"/>
      <c r="O1763" s="530"/>
      <c r="P1763" s="270"/>
      <c r="Q1763" s="520" t="s">
        <v>662</v>
      </c>
      <c r="R1763" s="496" t="s">
        <v>668</v>
      </c>
      <c r="S1763" s="499" t="s">
        <v>663</v>
      </c>
    </row>
    <row r="1764" spans="2:19" x14ac:dyDescent="0.2">
      <c r="B1764" s="523"/>
      <c r="C1764" s="526" t="s">
        <v>126</v>
      </c>
      <c r="D1764" s="526" t="s">
        <v>127</v>
      </c>
      <c r="E1764" s="526"/>
      <c r="F1764" s="526" t="s">
        <v>128</v>
      </c>
      <c r="G1764" s="507" t="s">
        <v>129</v>
      </c>
      <c r="H1764" s="510" t="s">
        <v>130</v>
      </c>
      <c r="I1764" s="497" t="s">
        <v>664</v>
      </c>
      <c r="J1764" s="497" t="s">
        <v>666</v>
      </c>
      <c r="K1764" s="500" t="s">
        <v>663</v>
      </c>
      <c r="L1764" s="215"/>
      <c r="M1764" s="512" t="s">
        <v>665</v>
      </c>
      <c r="N1764" s="496" t="s">
        <v>667</v>
      </c>
      <c r="O1764" s="499" t="s">
        <v>663</v>
      </c>
      <c r="P1764" s="215"/>
      <c r="Q1764" s="521"/>
      <c r="R1764" s="497"/>
      <c r="S1764" s="500"/>
    </row>
    <row r="1765" spans="2:19" x14ac:dyDescent="0.2">
      <c r="B1765" s="523"/>
      <c r="C1765" s="526"/>
      <c r="D1765" s="526"/>
      <c r="E1765" s="526"/>
      <c r="F1765" s="526"/>
      <c r="G1765" s="507"/>
      <c r="H1765" s="510"/>
      <c r="I1765" s="497"/>
      <c r="J1765" s="497"/>
      <c r="K1765" s="500"/>
      <c r="L1765" s="215"/>
      <c r="M1765" s="513"/>
      <c r="N1765" s="497"/>
      <c r="O1765" s="500"/>
      <c r="P1765" s="215"/>
      <c r="Q1765" s="521"/>
      <c r="R1765" s="497"/>
      <c r="S1765" s="500"/>
    </row>
    <row r="1766" spans="2:19" x14ac:dyDescent="0.2">
      <c r="B1766" s="523"/>
      <c r="C1766" s="526"/>
      <c r="D1766" s="526"/>
      <c r="E1766" s="526"/>
      <c r="F1766" s="526"/>
      <c r="G1766" s="507"/>
      <c r="H1766" s="510"/>
      <c r="I1766" s="497"/>
      <c r="J1766" s="497"/>
      <c r="K1766" s="500"/>
      <c r="L1766" s="215"/>
      <c r="M1766" s="513"/>
      <c r="N1766" s="497"/>
      <c r="O1766" s="500"/>
      <c r="P1766" s="215"/>
      <c r="Q1766" s="521"/>
      <c r="R1766" s="497"/>
      <c r="S1766" s="500"/>
    </row>
    <row r="1767" spans="2:19" ht="13.5" thickBot="1" x14ac:dyDescent="0.25">
      <c r="B1767" s="524"/>
      <c r="C1767" s="527"/>
      <c r="D1767" s="527"/>
      <c r="E1767" s="527"/>
      <c r="F1767" s="527"/>
      <c r="G1767" s="508"/>
      <c r="H1767" s="511"/>
      <c r="I1767" s="498"/>
      <c r="J1767" s="498"/>
      <c r="K1767" s="501"/>
      <c r="L1767" s="215"/>
      <c r="M1767" s="514"/>
      <c r="N1767" s="498"/>
      <c r="O1767" s="501"/>
      <c r="P1767" s="215"/>
      <c r="Q1767" s="521"/>
      <c r="R1767" s="498"/>
      <c r="S1767" s="501"/>
    </row>
    <row r="1768" spans="2:19" ht="16.5" thickTop="1" x14ac:dyDescent="0.2">
      <c r="B1768" s="78">
        <f t="shared" ref="B1768:B1831" si="149">B1767+1</f>
        <v>1</v>
      </c>
      <c r="C1768" s="502" t="s">
        <v>31</v>
      </c>
      <c r="D1768" s="503"/>
      <c r="E1768" s="503"/>
      <c r="F1768" s="503"/>
      <c r="G1768" s="503"/>
      <c r="H1768" s="504"/>
      <c r="I1768" s="34">
        <f>I1909+I1900+I1895+I1892+I1879+I1857+I1825+I1801+I1783+I1779+I1769</f>
        <v>3357403</v>
      </c>
      <c r="J1768" s="34">
        <f>J1909+J1900+J1895+J1892+J1879+J1857+J1825+J1801+J1783+J1779+J1769</f>
        <v>3286266</v>
      </c>
      <c r="K1768" s="218">
        <f t="shared" ref="K1768:K1831" si="150">J1768/I1768*100</f>
        <v>97.881189717171281</v>
      </c>
      <c r="L1768" s="288"/>
      <c r="M1768" s="281">
        <f>M1769+M1779+M1783+M1801+M1825+M1857+M1879+M1892+M1895+M1900+M1909</f>
        <v>41520</v>
      </c>
      <c r="N1768" s="34">
        <f>N1769+N1779+N1783+N1801+N1825+N1857+N1879+N1892+N1895+N1900+N1909</f>
        <v>35126</v>
      </c>
      <c r="O1768" s="218">
        <f t="shared" ref="O1768:O1814" si="151">N1768/M1768*100</f>
        <v>84.600192678227359</v>
      </c>
      <c r="P1768" s="288"/>
      <c r="Q1768" s="281">
        <f t="shared" ref="Q1768:R1801" si="152">I1768+M1768</f>
        <v>3398923</v>
      </c>
      <c r="R1768" s="34">
        <f t="shared" si="152"/>
        <v>3321392</v>
      </c>
      <c r="S1768" s="219">
        <f t="shared" ref="S1768:S1831" si="153">R1768/Q1768*100</f>
        <v>97.718953915696233</v>
      </c>
    </row>
    <row r="1769" spans="2:19" ht="15" x14ac:dyDescent="0.2">
      <c r="B1769" s="78">
        <f t="shared" si="149"/>
        <v>2</v>
      </c>
      <c r="C1769" s="430">
        <v>1</v>
      </c>
      <c r="D1769" s="505" t="s">
        <v>78</v>
      </c>
      <c r="E1769" s="494"/>
      <c r="F1769" s="494"/>
      <c r="G1769" s="494"/>
      <c r="H1769" s="495"/>
      <c r="I1769" s="35">
        <f>I1770</f>
        <v>258657</v>
      </c>
      <c r="J1769" s="35">
        <f>J1770</f>
        <v>253988</v>
      </c>
      <c r="K1769" s="218">
        <f t="shared" si="150"/>
        <v>98.194906768423053</v>
      </c>
      <c r="L1769" s="276"/>
      <c r="M1769" s="282">
        <v>0</v>
      </c>
      <c r="N1769" s="35">
        <v>0</v>
      </c>
      <c r="O1769" s="218"/>
      <c r="P1769" s="276"/>
      <c r="Q1769" s="282">
        <f t="shared" si="152"/>
        <v>258657</v>
      </c>
      <c r="R1769" s="35">
        <f t="shared" si="152"/>
        <v>253988</v>
      </c>
      <c r="S1769" s="219">
        <f t="shared" si="153"/>
        <v>98.194906768423053</v>
      </c>
    </row>
    <row r="1770" spans="2:19" ht="15" x14ac:dyDescent="0.25">
      <c r="B1770" s="78">
        <f>B1769+1</f>
        <v>3</v>
      </c>
      <c r="C1770" s="10"/>
      <c r="D1770" s="10"/>
      <c r="E1770" s="10">
        <v>5</v>
      </c>
      <c r="F1770" s="27"/>
      <c r="G1770" s="10"/>
      <c r="H1770" s="10" t="s">
        <v>116</v>
      </c>
      <c r="I1770" s="37">
        <f>I1771+I1772+I1773+I1778</f>
        <v>258657</v>
      </c>
      <c r="J1770" s="37">
        <f>J1771+J1772+J1773+J1778</f>
        <v>253988</v>
      </c>
      <c r="K1770" s="218">
        <f t="shared" si="150"/>
        <v>98.194906768423053</v>
      </c>
      <c r="L1770" s="295"/>
      <c r="M1770" s="299">
        <v>0</v>
      </c>
      <c r="N1770" s="37">
        <v>0</v>
      </c>
      <c r="O1770" s="218"/>
      <c r="P1770" s="295"/>
      <c r="Q1770" s="299">
        <f t="shared" si="152"/>
        <v>258657</v>
      </c>
      <c r="R1770" s="37">
        <f t="shared" si="152"/>
        <v>253988</v>
      </c>
      <c r="S1770" s="219">
        <f t="shared" si="153"/>
        <v>98.194906768423053</v>
      </c>
    </row>
    <row r="1771" spans="2:19" x14ac:dyDescent="0.2">
      <c r="B1771" s="78">
        <f t="shared" si="149"/>
        <v>4</v>
      </c>
      <c r="C1771" s="7"/>
      <c r="D1771" s="7"/>
      <c r="E1771" s="7"/>
      <c r="F1771" s="24" t="s">
        <v>83</v>
      </c>
      <c r="G1771" s="7">
        <v>610</v>
      </c>
      <c r="H1771" s="7" t="s">
        <v>143</v>
      </c>
      <c r="I1771" s="22">
        <v>138446</v>
      </c>
      <c r="J1771" s="22">
        <v>138011</v>
      </c>
      <c r="K1771" s="218">
        <f t="shared" si="150"/>
        <v>99.685798072894855</v>
      </c>
      <c r="L1771" s="278"/>
      <c r="M1771" s="284"/>
      <c r="N1771" s="22"/>
      <c r="O1771" s="218"/>
      <c r="P1771" s="278"/>
      <c r="Q1771" s="284">
        <f t="shared" si="152"/>
        <v>138446</v>
      </c>
      <c r="R1771" s="22">
        <f t="shared" si="152"/>
        <v>138011</v>
      </c>
      <c r="S1771" s="219">
        <f t="shared" si="153"/>
        <v>99.685798072894855</v>
      </c>
    </row>
    <row r="1772" spans="2:19" x14ac:dyDescent="0.2">
      <c r="B1772" s="78">
        <f t="shared" si="149"/>
        <v>5</v>
      </c>
      <c r="C1772" s="7"/>
      <c r="D1772" s="7"/>
      <c r="E1772" s="7"/>
      <c r="F1772" s="24" t="s">
        <v>83</v>
      </c>
      <c r="G1772" s="7">
        <v>620</v>
      </c>
      <c r="H1772" s="7" t="s">
        <v>136</v>
      </c>
      <c r="I1772" s="22">
        <v>49972</v>
      </c>
      <c r="J1772" s="22">
        <v>48892</v>
      </c>
      <c r="K1772" s="218">
        <f t="shared" si="150"/>
        <v>97.838789722244456</v>
      </c>
      <c r="L1772" s="278"/>
      <c r="M1772" s="284"/>
      <c r="N1772" s="22"/>
      <c r="O1772" s="218"/>
      <c r="P1772" s="278"/>
      <c r="Q1772" s="284">
        <f t="shared" si="152"/>
        <v>49972</v>
      </c>
      <c r="R1772" s="22">
        <f t="shared" si="152"/>
        <v>48892</v>
      </c>
      <c r="S1772" s="219">
        <f t="shared" si="153"/>
        <v>97.838789722244456</v>
      </c>
    </row>
    <row r="1773" spans="2:19" x14ac:dyDescent="0.2">
      <c r="B1773" s="78">
        <f t="shared" si="149"/>
        <v>6</v>
      </c>
      <c r="C1773" s="7"/>
      <c r="D1773" s="7"/>
      <c r="E1773" s="7"/>
      <c r="F1773" s="24" t="s">
        <v>83</v>
      </c>
      <c r="G1773" s="7">
        <v>630</v>
      </c>
      <c r="H1773" s="7" t="s">
        <v>133</v>
      </c>
      <c r="I1773" s="22">
        <f>I1777+I1776+I1775+I1774</f>
        <v>62069</v>
      </c>
      <c r="J1773" s="22">
        <f>J1777+J1776+J1775+J1774</f>
        <v>59509</v>
      </c>
      <c r="K1773" s="218">
        <f t="shared" si="150"/>
        <v>95.875557846912301</v>
      </c>
      <c r="L1773" s="278"/>
      <c r="M1773" s="284"/>
      <c r="N1773" s="22"/>
      <c r="O1773" s="218"/>
      <c r="P1773" s="278"/>
      <c r="Q1773" s="284">
        <f t="shared" si="152"/>
        <v>62069</v>
      </c>
      <c r="R1773" s="22">
        <f t="shared" si="152"/>
        <v>59509</v>
      </c>
      <c r="S1773" s="219">
        <f t="shared" si="153"/>
        <v>95.875557846912301</v>
      </c>
    </row>
    <row r="1774" spans="2:19" x14ac:dyDescent="0.2">
      <c r="B1774" s="78">
        <f t="shared" si="149"/>
        <v>7</v>
      </c>
      <c r="C1774" s="3"/>
      <c r="D1774" s="3"/>
      <c r="E1774" s="3"/>
      <c r="F1774" s="25" t="s">
        <v>83</v>
      </c>
      <c r="G1774" s="3">
        <v>632</v>
      </c>
      <c r="H1774" s="3" t="s">
        <v>146</v>
      </c>
      <c r="I1774" s="18">
        <v>15650</v>
      </c>
      <c r="J1774" s="18">
        <v>15100</v>
      </c>
      <c r="K1774" s="218">
        <f t="shared" si="150"/>
        <v>96.485623003194888</v>
      </c>
      <c r="L1774" s="279"/>
      <c r="M1774" s="285"/>
      <c r="N1774" s="18"/>
      <c r="O1774" s="218"/>
      <c r="P1774" s="279"/>
      <c r="Q1774" s="285">
        <f t="shared" si="152"/>
        <v>15650</v>
      </c>
      <c r="R1774" s="18">
        <f t="shared" si="152"/>
        <v>15100</v>
      </c>
      <c r="S1774" s="219">
        <f t="shared" si="153"/>
        <v>96.485623003194888</v>
      </c>
    </row>
    <row r="1775" spans="2:19" x14ac:dyDescent="0.2">
      <c r="B1775" s="78">
        <f t="shared" si="149"/>
        <v>8</v>
      </c>
      <c r="C1775" s="3"/>
      <c r="D1775" s="3"/>
      <c r="E1775" s="3"/>
      <c r="F1775" s="25" t="s">
        <v>83</v>
      </c>
      <c r="G1775" s="3">
        <v>633</v>
      </c>
      <c r="H1775" s="3" t="s">
        <v>137</v>
      </c>
      <c r="I1775" s="18">
        <f>27650-3000</f>
        <v>24650</v>
      </c>
      <c r="J1775" s="18">
        <v>23830</v>
      </c>
      <c r="K1775" s="218">
        <f t="shared" si="150"/>
        <v>96.673427991886413</v>
      </c>
      <c r="L1775" s="279"/>
      <c r="M1775" s="285"/>
      <c r="N1775" s="18"/>
      <c r="O1775" s="218"/>
      <c r="P1775" s="279"/>
      <c r="Q1775" s="285">
        <f t="shared" si="152"/>
        <v>24650</v>
      </c>
      <c r="R1775" s="18">
        <f t="shared" si="152"/>
        <v>23830</v>
      </c>
      <c r="S1775" s="219">
        <f t="shared" si="153"/>
        <v>96.673427991886413</v>
      </c>
    </row>
    <row r="1776" spans="2:19" x14ac:dyDescent="0.2">
      <c r="B1776" s="78">
        <f t="shared" si="149"/>
        <v>9</v>
      </c>
      <c r="C1776" s="3"/>
      <c r="D1776" s="3"/>
      <c r="E1776" s="3"/>
      <c r="F1776" s="25" t="s">
        <v>83</v>
      </c>
      <c r="G1776" s="3">
        <v>635</v>
      </c>
      <c r="H1776" s="3" t="s">
        <v>145</v>
      </c>
      <c r="I1776" s="18">
        <f>6310+3000+7169</f>
        <v>16479</v>
      </c>
      <c r="J1776" s="18">
        <v>15735</v>
      </c>
      <c r="K1776" s="218">
        <f t="shared" si="150"/>
        <v>95.485162934644094</v>
      </c>
      <c r="L1776" s="279"/>
      <c r="M1776" s="285"/>
      <c r="N1776" s="18"/>
      <c r="O1776" s="218"/>
      <c r="P1776" s="279"/>
      <c r="Q1776" s="285">
        <f t="shared" si="152"/>
        <v>16479</v>
      </c>
      <c r="R1776" s="18">
        <f t="shared" si="152"/>
        <v>15735</v>
      </c>
      <c r="S1776" s="219">
        <f t="shared" si="153"/>
        <v>95.485162934644094</v>
      </c>
    </row>
    <row r="1777" spans="2:19" x14ac:dyDescent="0.2">
      <c r="B1777" s="78">
        <f t="shared" si="149"/>
        <v>10</v>
      </c>
      <c r="C1777" s="3"/>
      <c r="D1777" s="3"/>
      <c r="E1777" s="3"/>
      <c r="F1777" s="25" t="s">
        <v>83</v>
      </c>
      <c r="G1777" s="3">
        <v>637</v>
      </c>
      <c r="H1777" s="3" t="s">
        <v>134</v>
      </c>
      <c r="I1777" s="18">
        <v>5290</v>
      </c>
      <c r="J1777" s="18">
        <v>4844</v>
      </c>
      <c r="K1777" s="218">
        <f t="shared" si="150"/>
        <v>91.56899810964083</v>
      </c>
      <c r="L1777" s="279"/>
      <c r="M1777" s="285"/>
      <c r="N1777" s="18"/>
      <c r="O1777" s="218"/>
      <c r="P1777" s="279"/>
      <c r="Q1777" s="285">
        <f t="shared" si="152"/>
        <v>5290</v>
      </c>
      <c r="R1777" s="18">
        <f t="shared" si="152"/>
        <v>4844</v>
      </c>
      <c r="S1777" s="219">
        <f t="shared" si="153"/>
        <v>91.56899810964083</v>
      </c>
    </row>
    <row r="1778" spans="2:19" x14ac:dyDescent="0.2">
      <c r="B1778" s="78">
        <f t="shared" si="149"/>
        <v>11</v>
      </c>
      <c r="C1778" s="7"/>
      <c r="D1778" s="7"/>
      <c r="E1778" s="7"/>
      <c r="F1778" s="24" t="s">
        <v>83</v>
      </c>
      <c r="G1778" s="7">
        <v>640</v>
      </c>
      <c r="H1778" s="7" t="s">
        <v>141</v>
      </c>
      <c r="I1778" s="22">
        <f>1817+6053+300</f>
        <v>8170</v>
      </c>
      <c r="J1778" s="22">
        <v>7576</v>
      </c>
      <c r="K1778" s="218">
        <f t="shared" si="150"/>
        <v>92.729498164014686</v>
      </c>
      <c r="L1778" s="278"/>
      <c r="M1778" s="284"/>
      <c r="N1778" s="22"/>
      <c r="O1778" s="218"/>
      <c r="P1778" s="278"/>
      <c r="Q1778" s="284">
        <f t="shared" si="152"/>
        <v>8170</v>
      </c>
      <c r="R1778" s="22">
        <f t="shared" si="152"/>
        <v>7576</v>
      </c>
      <c r="S1778" s="219">
        <f t="shared" si="153"/>
        <v>92.729498164014686</v>
      </c>
    </row>
    <row r="1779" spans="2:19" ht="15" x14ac:dyDescent="0.2">
      <c r="B1779" s="78">
        <f t="shared" si="149"/>
        <v>12</v>
      </c>
      <c r="C1779" s="430">
        <v>2</v>
      </c>
      <c r="D1779" s="505" t="s">
        <v>59</v>
      </c>
      <c r="E1779" s="494"/>
      <c r="F1779" s="494"/>
      <c r="G1779" s="494"/>
      <c r="H1779" s="495"/>
      <c r="I1779" s="35">
        <f t="shared" ref="I1779:J1781" si="154">I1780</f>
        <v>1000</v>
      </c>
      <c r="J1779" s="35">
        <f t="shared" si="154"/>
        <v>510</v>
      </c>
      <c r="K1779" s="218">
        <f t="shared" si="150"/>
        <v>51</v>
      </c>
      <c r="L1779" s="276"/>
      <c r="M1779" s="282">
        <v>0</v>
      </c>
      <c r="N1779" s="35">
        <v>0</v>
      </c>
      <c r="O1779" s="218"/>
      <c r="P1779" s="276"/>
      <c r="Q1779" s="282">
        <f t="shared" si="152"/>
        <v>1000</v>
      </c>
      <c r="R1779" s="35">
        <f t="shared" si="152"/>
        <v>510</v>
      </c>
      <c r="S1779" s="219">
        <f t="shared" si="153"/>
        <v>51</v>
      </c>
    </row>
    <row r="1780" spans="2:19" x14ac:dyDescent="0.2">
      <c r="B1780" s="78">
        <f t="shared" si="149"/>
        <v>13</v>
      </c>
      <c r="C1780" s="7"/>
      <c r="D1780" s="7"/>
      <c r="E1780" s="7"/>
      <c r="F1780" s="24" t="s">
        <v>58</v>
      </c>
      <c r="G1780" s="7">
        <v>640</v>
      </c>
      <c r="H1780" s="7" t="s">
        <v>141</v>
      </c>
      <c r="I1780" s="22">
        <f t="shared" si="154"/>
        <v>1000</v>
      </c>
      <c r="J1780" s="22">
        <f t="shared" si="154"/>
        <v>510</v>
      </c>
      <c r="K1780" s="218">
        <f t="shared" si="150"/>
        <v>51</v>
      </c>
      <c r="L1780" s="278"/>
      <c r="M1780" s="284"/>
      <c r="N1780" s="22"/>
      <c r="O1780" s="218"/>
      <c r="P1780" s="278"/>
      <c r="Q1780" s="284">
        <f t="shared" si="152"/>
        <v>1000</v>
      </c>
      <c r="R1780" s="22">
        <f t="shared" si="152"/>
        <v>510</v>
      </c>
      <c r="S1780" s="219">
        <f t="shared" si="153"/>
        <v>51</v>
      </c>
    </row>
    <row r="1781" spans="2:19" x14ac:dyDescent="0.2">
      <c r="B1781" s="78">
        <f t="shared" si="149"/>
        <v>14</v>
      </c>
      <c r="C1781" s="3"/>
      <c r="D1781" s="3"/>
      <c r="E1781" s="3"/>
      <c r="F1781" s="25" t="s">
        <v>58</v>
      </c>
      <c r="G1781" s="3">
        <v>642</v>
      </c>
      <c r="H1781" s="3" t="s">
        <v>142</v>
      </c>
      <c r="I1781" s="18">
        <f t="shared" si="154"/>
        <v>1000</v>
      </c>
      <c r="J1781" s="18">
        <f t="shared" si="154"/>
        <v>510</v>
      </c>
      <c r="K1781" s="218">
        <f t="shared" si="150"/>
        <v>51</v>
      </c>
      <c r="L1781" s="279"/>
      <c r="M1781" s="285"/>
      <c r="N1781" s="18"/>
      <c r="O1781" s="218"/>
      <c r="P1781" s="279"/>
      <c r="Q1781" s="285">
        <f t="shared" si="152"/>
        <v>1000</v>
      </c>
      <c r="R1781" s="18">
        <f t="shared" si="152"/>
        <v>510</v>
      </c>
      <c r="S1781" s="219">
        <f t="shared" si="153"/>
        <v>51</v>
      </c>
    </row>
    <row r="1782" spans="2:19" x14ac:dyDescent="0.2">
      <c r="B1782" s="78">
        <f t="shared" si="149"/>
        <v>15</v>
      </c>
      <c r="C1782" s="4"/>
      <c r="D1782" s="4"/>
      <c r="E1782" s="4"/>
      <c r="F1782" s="26"/>
      <c r="G1782" s="4"/>
      <c r="H1782" s="4" t="s">
        <v>373</v>
      </c>
      <c r="I1782" s="20">
        <f>2000-1000</f>
        <v>1000</v>
      </c>
      <c r="J1782" s="20">
        <v>510</v>
      </c>
      <c r="K1782" s="218">
        <f t="shared" si="150"/>
        <v>51</v>
      </c>
      <c r="L1782" s="280"/>
      <c r="M1782" s="286"/>
      <c r="N1782" s="20"/>
      <c r="O1782" s="218"/>
      <c r="P1782" s="280"/>
      <c r="Q1782" s="286">
        <f t="shared" si="152"/>
        <v>1000</v>
      </c>
      <c r="R1782" s="20">
        <f t="shared" si="152"/>
        <v>510</v>
      </c>
      <c r="S1782" s="219">
        <f t="shared" si="153"/>
        <v>51</v>
      </c>
    </row>
    <row r="1783" spans="2:19" ht="15" x14ac:dyDescent="0.2">
      <c r="B1783" s="78">
        <f t="shared" si="149"/>
        <v>16</v>
      </c>
      <c r="C1783" s="430">
        <v>3</v>
      </c>
      <c r="D1783" s="505" t="s">
        <v>69</v>
      </c>
      <c r="E1783" s="494"/>
      <c r="F1783" s="494"/>
      <c r="G1783" s="494"/>
      <c r="H1783" s="495"/>
      <c r="I1783" s="35">
        <f>I1784</f>
        <v>67024</v>
      </c>
      <c r="J1783" s="35">
        <f>J1784</f>
        <v>67024</v>
      </c>
      <c r="K1783" s="218">
        <f t="shared" si="150"/>
        <v>100</v>
      </c>
      <c r="L1783" s="276"/>
      <c r="M1783" s="282">
        <v>0</v>
      </c>
      <c r="N1783" s="35">
        <v>0</v>
      </c>
      <c r="O1783" s="218"/>
      <c r="P1783" s="276"/>
      <c r="Q1783" s="282">
        <f t="shared" si="152"/>
        <v>67024</v>
      </c>
      <c r="R1783" s="35">
        <f t="shared" si="152"/>
        <v>67024</v>
      </c>
      <c r="S1783" s="219">
        <f t="shared" si="153"/>
        <v>100</v>
      </c>
    </row>
    <row r="1784" spans="2:19" x14ac:dyDescent="0.2">
      <c r="B1784" s="78">
        <f t="shared" si="149"/>
        <v>17</v>
      </c>
      <c r="C1784" s="7"/>
      <c r="D1784" s="7"/>
      <c r="E1784" s="7"/>
      <c r="F1784" s="24" t="s">
        <v>68</v>
      </c>
      <c r="G1784" s="7">
        <v>640</v>
      </c>
      <c r="H1784" s="7" t="s">
        <v>141</v>
      </c>
      <c r="I1784" s="22">
        <f>I1785</f>
        <v>67024</v>
      </c>
      <c r="J1784" s="22">
        <f>J1785</f>
        <v>67024</v>
      </c>
      <c r="K1784" s="218">
        <f t="shared" si="150"/>
        <v>100</v>
      </c>
      <c r="L1784" s="278"/>
      <c r="M1784" s="284"/>
      <c r="N1784" s="22"/>
      <c r="O1784" s="218"/>
      <c r="P1784" s="278"/>
      <c r="Q1784" s="284">
        <f t="shared" si="152"/>
        <v>67024</v>
      </c>
      <c r="R1784" s="22">
        <f t="shared" si="152"/>
        <v>67024</v>
      </c>
      <c r="S1784" s="219">
        <f t="shared" si="153"/>
        <v>100</v>
      </c>
    </row>
    <row r="1785" spans="2:19" x14ac:dyDescent="0.2">
      <c r="B1785" s="78">
        <f t="shared" si="149"/>
        <v>18</v>
      </c>
      <c r="C1785" s="3"/>
      <c r="D1785" s="3"/>
      <c r="E1785" s="3"/>
      <c r="F1785" s="25" t="s">
        <v>68</v>
      </c>
      <c r="G1785" s="3">
        <v>642</v>
      </c>
      <c r="H1785" s="3" t="s">
        <v>142</v>
      </c>
      <c r="I1785" s="18">
        <f>SUM(I1786:I1791)+I1800</f>
        <v>67024</v>
      </c>
      <c r="J1785" s="18">
        <f>SUM(J1786:J1791)+J1800</f>
        <v>67024</v>
      </c>
      <c r="K1785" s="218">
        <f t="shared" si="150"/>
        <v>100</v>
      </c>
      <c r="L1785" s="279"/>
      <c r="M1785" s="285"/>
      <c r="N1785" s="18"/>
      <c r="O1785" s="218"/>
      <c r="P1785" s="279"/>
      <c r="Q1785" s="285">
        <f t="shared" si="152"/>
        <v>67024</v>
      </c>
      <c r="R1785" s="18">
        <f t="shared" si="152"/>
        <v>67024</v>
      </c>
      <c r="S1785" s="219">
        <f t="shared" si="153"/>
        <v>100</v>
      </c>
    </row>
    <row r="1786" spans="2:19" x14ac:dyDescent="0.2">
      <c r="B1786" s="78">
        <f t="shared" si="149"/>
        <v>19</v>
      </c>
      <c r="C1786" s="4"/>
      <c r="D1786" s="12"/>
      <c r="E1786" s="4"/>
      <c r="F1786" s="26"/>
      <c r="G1786" s="4"/>
      <c r="H1786" s="13" t="s">
        <v>292</v>
      </c>
      <c r="I1786" s="20">
        <f>15000+510</f>
        <v>15510</v>
      </c>
      <c r="J1786" s="20">
        <v>15510</v>
      </c>
      <c r="K1786" s="218">
        <f t="shared" si="150"/>
        <v>100</v>
      </c>
      <c r="L1786" s="280"/>
      <c r="M1786" s="286"/>
      <c r="N1786" s="20"/>
      <c r="O1786" s="218"/>
      <c r="P1786" s="280"/>
      <c r="Q1786" s="286">
        <f t="shared" si="152"/>
        <v>15510</v>
      </c>
      <c r="R1786" s="20">
        <f t="shared" si="152"/>
        <v>15510</v>
      </c>
      <c r="S1786" s="219">
        <f t="shared" si="153"/>
        <v>100</v>
      </c>
    </row>
    <row r="1787" spans="2:19" ht="22.5" x14ac:dyDescent="0.2">
      <c r="B1787" s="190">
        <f t="shared" si="149"/>
        <v>20</v>
      </c>
      <c r="C1787" s="134"/>
      <c r="D1787" s="137"/>
      <c r="E1787" s="134"/>
      <c r="F1787" s="135"/>
      <c r="G1787" s="134"/>
      <c r="H1787" s="138" t="s">
        <v>480</v>
      </c>
      <c r="I1787" s="136">
        <v>792</v>
      </c>
      <c r="J1787" s="136">
        <v>792</v>
      </c>
      <c r="K1787" s="218">
        <f t="shared" si="150"/>
        <v>100</v>
      </c>
      <c r="L1787" s="296"/>
      <c r="M1787" s="301"/>
      <c r="N1787" s="136"/>
      <c r="O1787" s="218"/>
      <c r="P1787" s="296"/>
      <c r="Q1787" s="301">
        <f t="shared" si="152"/>
        <v>792</v>
      </c>
      <c r="R1787" s="136">
        <f t="shared" si="152"/>
        <v>792</v>
      </c>
      <c r="S1787" s="349">
        <f t="shared" si="153"/>
        <v>100</v>
      </c>
    </row>
    <row r="1788" spans="2:19" x14ac:dyDescent="0.2">
      <c r="B1788" s="78">
        <f t="shared" si="149"/>
        <v>21</v>
      </c>
      <c r="C1788" s="4"/>
      <c r="D1788" s="12"/>
      <c r="E1788" s="4"/>
      <c r="F1788" s="26"/>
      <c r="G1788" s="4"/>
      <c r="H1788" s="13" t="s">
        <v>479</v>
      </c>
      <c r="I1788" s="20">
        <v>2367</v>
      </c>
      <c r="J1788" s="20">
        <v>2367</v>
      </c>
      <c r="K1788" s="218">
        <f t="shared" si="150"/>
        <v>100</v>
      </c>
      <c r="L1788" s="280"/>
      <c r="M1788" s="286"/>
      <c r="N1788" s="20"/>
      <c r="O1788" s="218"/>
      <c r="P1788" s="280"/>
      <c r="Q1788" s="286">
        <f t="shared" si="152"/>
        <v>2367</v>
      </c>
      <c r="R1788" s="20">
        <f t="shared" si="152"/>
        <v>2367</v>
      </c>
      <c r="S1788" s="219">
        <f t="shared" si="153"/>
        <v>100</v>
      </c>
    </row>
    <row r="1789" spans="2:19" x14ac:dyDescent="0.2">
      <c r="B1789" s="78">
        <f t="shared" si="149"/>
        <v>22</v>
      </c>
      <c r="C1789" s="4"/>
      <c r="D1789" s="12"/>
      <c r="E1789" s="4"/>
      <c r="F1789" s="26"/>
      <c r="G1789" s="4"/>
      <c r="H1789" s="13" t="s">
        <v>321</v>
      </c>
      <c r="I1789" s="20">
        <f>10000+12000</f>
        <v>22000</v>
      </c>
      <c r="J1789" s="20">
        <v>22000</v>
      </c>
      <c r="K1789" s="218">
        <f t="shared" si="150"/>
        <v>100</v>
      </c>
      <c r="L1789" s="280"/>
      <c r="M1789" s="286"/>
      <c r="N1789" s="20"/>
      <c r="O1789" s="218"/>
      <c r="P1789" s="280"/>
      <c r="Q1789" s="286">
        <f t="shared" si="152"/>
        <v>22000</v>
      </c>
      <c r="R1789" s="20">
        <f t="shared" si="152"/>
        <v>22000</v>
      </c>
      <c r="S1789" s="219">
        <f t="shared" si="153"/>
        <v>100</v>
      </c>
    </row>
    <row r="1790" spans="2:19" x14ac:dyDescent="0.2">
      <c r="B1790" s="78">
        <f t="shared" si="149"/>
        <v>23</v>
      </c>
      <c r="C1790" s="4"/>
      <c r="D1790" s="12"/>
      <c r="E1790" s="4"/>
      <c r="F1790" s="26"/>
      <c r="G1790" s="4"/>
      <c r="H1790" s="13" t="s">
        <v>423</v>
      </c>
      <c r="I1790" s="20">
        <v>15000</v>
      </c>
      <c r="J1790" s="20">
        <v>15000</v>
      </c>
      <c r="K1790" s="218">
        <f t="shared" si="150"/>
        <v>100</v>
      </c>
      <c r="L1790" s="280"/>
      <c r="M1790" s="286"/>
      <c r="N1790" s="20"/>
      <c r="O1790" s="218"/>
      <c r="P1790" s="280"/>
      <c r="Q1790" s="286">
        <f t="shared" si="152"/>
        <v>15000</v>
      </c>
      <c r="R1790" s="20">
        <f t="shared" si="152"/>
        <v>15000</v>
      </c>
      <c r="S1790" s="219">
        <f t="shared" si="153"/>
        <v>100</v>
      </c>
    </row>
    <row r="1791" spans="2:19" x14ac:dyDescent="0.2">
      <c r="B1791" s="78">
        <f t="shared" si="149"/>
        <v>24</v>
      </c>
      <c r="C1791" s="4"/>
      <c r="D1791" s="12"/>
      <c r="E1791" s="4"/>
      <c r="F1791" s="26"/>
      <c r="G1791" s="4"/>
      <c r="H1791" s="13" t="s">
        <v>320</v>
      </c>
      <c r="I1791" s="20">
        <f>SUM(I1792:I1799)</f>
        <v>9855</v>
      </c>
      <c r="J1791" s="20">
        <f>SUM(J1792:J1799)</f>
        <v>9855</v>
      </c>
      <c r="K1791" s="218">
        <f t="shared" si="150"/>
        <v>100</v>
      </c>
      <c r="L1791" s="280"/>
      <c r="M1791" s="286"/>
      <c r="N1791" s="20"/>
      <c r="O1791" s="218"/>
      <c r="P1791" s="280"/>
      <c r="Q1791" s="286">
        <f t="shared" si="152"/>
        <v>9855</v>
      </c>
      <c r="R1791" s="20">
        <f t="shared" si="152"/>
        <v>9855</v>
      </c>
      <c r="S1791" s="219">
        <f t="shared" si="153"/>
        <v>100</v>
      </c>
    </row>
    <row r="1792" spans="2:19" x14ac:dyDescent="0.2">
      <c r="B1792" s="78">
        <f t="shared" si="149"/>
        <v>25</v>
      </c>
      <c r="C1792" s="4"/>
      <c r="D1792" s="12"/>
      <c r="E1792" s="4"/>
      <c r="F1792" s="26"/>
      <c r="G1792" s="4"/>
      <c r="H1792" s="13" t="s">
        <v>322</v>
      </c>
      <c r="I1792" s="20">
        <v>1242</v>
      </c>
      <c r="J1792" s="20">
        <v>1242</v>
      </c>
      <c r="K1792" s="218">
        <f t="shared" si="150"/>
        <v>100</v>
      </c>
      <c r="L1792" s="280"/>
      <c r="M1792" s="286"/>
      <c r="N1792" s="20"/>
      <c r="O1792" s="218"/>
      <c r="P1792" s="280"/>
      <c r="Q1792" s="286">
        <f t="shared" si="152"/>
        <v>1242</v>
      </c>
      <c r="R1792" s="20">
        <f t="shared" si="152"/>
        <v>1242</v>
      </c>
      <c r="S1792" s="219">
        <f t="shared" si="153"/>
        <v>100</v>
      </c>
    </row>
    <row r="1793" spans="2:19" x14ac:dyDescent="0.2">
      <c r="B1793" s="78">
        <f t="shared" si="149"/>
        <v>26</v>
      </c>
      <c r="C1793" s="4"/>
      <c r="D1793" s="12"/>
      <c r="E1793" s="4"/>
      <c r="F1793" s="26"/>
      <c r="G1793" s="4"/>
      <c r="H1793" s="13" t="s">
        <v>323</v>
      </c>
      <c r="I1793" s="20">
        <v>2133</v>
      </c>
      <c r="J1793" s="20">
        <v>2133</v>
      </c>
      <c r="K1793" s="218">
        <f t="shared" si="150"/>
        <v>100</v>
      </c>
      <c r="L1793" s="280"/>
      <c r="M1793" s="286"/>
      <c r="N1793" s="20"/>
      <c r="O1793" s="218"/>
      <c r="P1793" s="280"/>
      <c r="Q1793" s="286">
        <f t="shared" si="152"/>
        <v>2133</v>
      </c>
      <c r="R1793" s="20">
        <f t="shared" si="152"/>
        <v>2133</v>
      </c>
      <c r="S1793" s="219">
        <f t="shared" si="153"/>
        <v>100</v>
      </c>
    </row>
    <row r="1794" spans="2:19" x14ac:dyDescent="0.2">
      <c r="B1794" s="78">
        <f t="shared" si="149"/>
        <v>27</v>
      </c>
      <c r="C1794" s="4"/>
      <c r="D1794" s="12"/>
      <c r="E1794" s="4"/>
      <c r="F1794" s="26"/>
      <c r="G1794" s="4"/>
      <c r="H1794" s="13" t="s">
        <v>324</v>
      </c>
      <c r="I1794" s="20">
        <v>387</v>
      </c>
      <c r="J1794" s="20">
        <v>387</v>
      </c>
      <c r="K1794" s="218">
        <f t="shared" si="150"/>
        <v>100</v>
      </c>
      <c r="L1794" s="280"/>
      <c r="M1794" s="286"/>
      <c r="N1794" s="20"/>
      <c r="O1794" s="218"/>
      <c r="P1794" s="280"/>
      <c r="Q1794" s="286">
        <f t="shared" si="152"/>
        <v>387</v>
      </c>
      <c r="R1794" s="20">
        <f t="shared" si="152"/>
        <v>387</v>
      </c>
      <c r="S1794" s="219">
        <f t="shared" si="153"/>
        <v>100</v>
      </c>
    </row>
    <row r="1795" spans="2:19" x14ac:dyDescent="0.2">
      <c r="B1795" s="78">
        <f t="shared" si="149"/>
        <v>28</v>
      </c>
      <c r="C1795" s="4"/>
      <c r="D1795" s="12"/>
      <c r="E1795" s="4"/>
      <c r="F1795" s="26"/>
      <c r="G1795" s="4"/>
      <c r="H1795" s="13" t="s">
        <v>325</v>
      </c>
      <c r="I1795" s="20">
        <v>2754</v>
      </c>
      <c r="J1795" s="20">
        <v>2754</v>
      </c>
      <c r="K1795" s="218">
        <f t="shared" si="150"/>
        <v>100</v>
      </c>
      <c r="L1795" s="280"/>
      <c r="M1795" s="286"/>
      <c r="N1795" s="20"/>
      <c r="O1795" s="218"/>
      <c r="P1795" s="280"/>
      <c r="Q1795" s="286">
        <f t="shared" si="152"/>
        <v>2754</v>
      </c>
      <c r="R1795" s="20">
        <f t="shared" si="152"/>
        <v>2754</v>
      </c>
      <c r="S1795" s="219">
        <f t="shared" si="153"/>
        <v>100</v>
      </c>
    </row>
    <row r="1796" spans="2:19" x14ac:dyDescent="0.2">
      <c r="B1796" s="78">
        <f t="shared" si="149"/>
        <v>29</v>
      </c>
      <c r="C1796" s="4"/>
      <c r="D1796" s="12"/>
      <c r="E1796" s="4"/>
      <c r="F1796" s="26"/>
      <c r="G1796" s="4"/>
      <c r="H1796" s="13" t="s">
        <v>326</v>
      </c>
      <c r="I1796" s="20">
        <v>558</v>
      </c>
      <c r="J1796" s="20">
        <v>558</v>
      </c>
      <c r="K1796" s="218">
        <f t="shared" si="150"/>
        <v>100</v>
      </c>
      <c r="L1796" s="280"/>
      <c r="M1796" s="286"/>
      <c r="N1796" s="20"/>
      <c r="O1796" s="218"/>
      <c r="P1796" s="280"/>
      <c r="Q1796" s="286">
        <f t="shared" si="152"/>
        <v>558</v>
      </c>
      <c r="R1796" s="20">
        <f t="shared" si="152"/>
        <v>558</v>
      </c>
      <c r="S1796" s="219">
        <f t="shared" si="153"/>
        <v>100</v>
      </c>
    </row>
    <row r="1797" spans="2:19" x14ac:dyDescent="0.2">
      <c r="B1797" s="78">
        <f t="shared" si="149"/>
        <v>30</v>
      </c>
      <c r="C1797" s="4"/>
      <c r="D1797" s="12"/>
      <c r="E1797" s="4"/>
      <c r="F1797" s="26"/>
      <c r="G1797" s="4"/>
      <c r="H1797" s="13" t="s">
        <v>327</v>
      </c>
      <c r="I1797" s="20">
        <v>1719</v>
      </c>
      <c r="J1797" s="20">
        <v>1719</v>
      </c>
      <c r="K1797" s="218">
        <f t="shared" si="150"/>
        <v>100</v>
      </c>
      <c r="L1797" s="280"/>
      <c r="M1797" s="286"/>
      <c r="N1797" s="20"/>
      <c r="O1797" s="218"/>
      <c r="P1797" s="280"/>
      <c r="Q1797" s="286">
        <f t="shared" si="152"/>
        <v>1719</v>
      </c>
      <c r="R1797" s="20">
        <f t="shared" si="152"/>
        <v>1719</v>
      </c>
      <c r="S1797" s="219">
        <f t="shared" si="153"/>
        <v>100</v>
      </c>
    </row>
    <row r="1798" spans="2:19" x14ac:dyDescent="0.2">
      <c r="B1798" s="78">
        <f t="shared" si="149"/>
        <v>31</v>
      </c>
      <c r="C1798" s="4"/>
      <c r="D1798" s="12"/>
      <c r="E1798" s="4"/>
      <c r="F1798" s="26"/>
      <c r="G1798" s="4"/>
      <c r="H1798" s="13" t="s">
        <v>328</v>
      </c>
      <c r="I1798" s="20">
        <v>882</v>
      </c>
      <c r="J1798" s="20">
        <v>882</v>
      </c>
      <c r="K1798" s="218">
        <f t="shared" si="150"/>
        <v>100</v>
      </c>
      <c r="L1798" s="280"/>
      <c r="M1798" s="286"/>
      <c r="N1798" s="20"/>
      <c r="O1798" s="218"/>
      <c r="P1798" s="280"/>
      <c r="Q1798" s="286">
        <f t="shared" si="152"/>
        <v>882</v>
      </c>
      <c r="R1798" s="20">
        <f t="shared" si="152"/>
        <v>882</v>
      </c>
      <c r="S1798" s="219">
        <f t="shared" si="153"/>
        <v>100</v>
      </c>
    </row>
    <row r="1799" spans="2:19" x14ac:dyDescent="0.2">
      <c r="B1799" s="78">
        <f t="shared" si="149"/>
        <v>32</v>
      </c>
      <c r="C1799" s="4"/>
      <c r="D1799" s="12"/>
      <c r="E1799" s="4"/>
      <c r="F1799" s="26"/>
      <c r="G1799" s="4"/>
      <c r="H1799" s="13" t="s">
        <v>562</v>
      </c>
      <c r="I1799" s="20">
        <v>180</v>
      </c>
      <c r="J1799" s="20">
        <v>180</v>
      </c>
      <c r="K1799" s="218">
        <f t="shared" si="150"/>
        <v>100</v>
      </c>
      <c r="L1799" s="280"/>
      <c r="M1799" s="286"/>
      <c r="N1799" s="20"/>
      <c r="O1799" s="218"/>
      <c r="P1799" s="280"/>
      <c r="Q1799" s="286">
        <f t="shared" si="152"/>
        <v>180</v>
      </c>
      <c r="R1799" s="20">
        <f t="shared" si="152"/>
        <v>180</v>
      </c>
      <c r="S1799" s="219">
        <f t="shared" si="153"/>
        <v>100</v>
      </c>
    </row>
    <row r="1800" spans="2:19" ht="22.5" x14ac:dyDescent="0.2">
      <c r="B1800" s="190">
        <f t="shared" si="149"/>
        <v>33</v>
      </c>
      <c r="C1800" s="134"/>
      <c r="D1800" s="137"/>
      <c r="E1800" s="134"/>
      <c r="F1800" s="135"/>
      <c r="G1800" s="134"/>
      <c r="H1800" s="138" t="s">
        <v>626</v>
      </c>
      <c r="I1800" s="136">
        <v>1500</v>
      </c>
      <c r="J1800" s="136">
        <v>1500</v>
      </c>
      <c r="K1800" s="218">
        <f t="shared" si="150"/>
        <v>100</v>
      </c>
      <c r="L1800" s="296"/>
      <c r="M1800" s="301"/>
      <c r="N1800" s="136"/>
      <c r="O1800" s="218"/>
      <c r="P1800" s="296"/>
      <c r="Q1800" s="301">
        <f t="shared" si="152"/>
        <v>1500</v>
      </c>
      <c r="R1800" s="136">
        <f t="shared" si="152"/>
        <v>1500</v>
      </c>
      <c r="S1800" s="349">
        <f t="shared" si="153"/>
        <v>100</v>
      </c>
    </row>
    <row r="1801" spans="2:19" ht="15" x14ac:dyDescent="0.2">
      <c r="B1801" s="78">
        <f t="shared" si="149"/>
        <v>34</v>
      </c>
      <c r="C1801" s="430">
        <v>4</v>
      </c>
      <c r="D1801" s="505" t="s">
        <v>474</v>
      </c>
      <c r="E1801" s="494"/>
      <c r="F1801" s="494"/>
      <c r="G1801" s="494"/>
      <c r="H1801" s="495"/>
      <c r="I1801" s="35">
        <f>I1802+I1815</f>
        <v>139778</v>
      </c>
      <c r="J1801" s="35">
        <f>J1802+J1815</f>
        <v>127317</v>
      </c>
      <c r="K1801" s="218">
        <f t="shared" si="150"/>
        <v>91.08514930818869</v>
      </c>
      <c r="L1801" s="276"/>
      <c r="M1801" s="282">
        <f>M1802</f>
        <v>10500</v>
      </c>
      <c r="N1801" s="35">
        <f>N1802</f>
        <v>4990</v>
      </c>
      <c r="O1801" s="218">
        <f t="shared" si="151"/>
        <v>47.523809523809526</v>
      </c>
      <c r="P1801" s="276"/>
      <c r="Q1801" s="282">
        <f t="shared" si="152"/>
        <v>150278</v>
      </c>
      <c r="R1801" s="35">
        <f t="shared" si="152"/>
        <v>132307</v>
      </c>
      <c r="S1801" s="219">
        <f t="shared" si="153"/>
        <v>88.041496426622658</v>
      </c>
    </row>
    <row r="1802" spans="2:19" ht="15" x14ac:dyDescent="0.25">
      <c r="B1802" s="78">
        <f t="shared" si="149"/>
        <v>35</v>
      </c>
      <c r="C1802" s="429"/>
      <c r="D1802" s="429">
        <v>1</v>
      </c>
      <c r="E1802" s="493" t="s">
        <v>63</v>
      </c>
      <c r="F1802" s="494"/>
      <c r="G1802" s="494"/>
      <c r="H1802" s="495"/>
      <c r="I1802" s="36">
        <f>I1803</f>
        <v>66337</v>
      </c>
      <c r="J1802" s="36">
        <f>J1803</f>
        <v>63207</v>
      </c>
      <c r="K1802" s="218">
        <f t="shared" si="150"/>
        <v>95.281667847505915</v>
      </c>
      <c r="L1802" s="277"/>
      <c r="M1802" s="283">
        <f>M1803</f>
        <v>10500</v>
      </c>
      <c r="N1802" s="36">
        <f>N1803</f>
        <v>4990</v>
      </c>
      <c r="O1802" s="218">
        <f t="shared" si="151"/>
        <v>47.523809523809526</v>
      </c>
      <c r="P1802" s="277"/>
      <c r="Q1802" s="283">
        <f t="shared" ref="Q1802:R1837" si="155">I1802+M1802</f>
        <v>76837</v>
      </c>
      <c r="R1802" s="36">
        <f t="shared" si="155"/>
        <v>68197</v>
      </c>
      <c r="S1802" s="219">
        <f t="shared" si="153"/>
        <v>88.755417311972096</v>
      </c>
    </row>
    <row r="1803" spans="2:19" ht="15" x14ac:dyDescent="0.25">
      <c r="B1803" s="78">
        <f t="shared" si="149"/>
        <v>36</v>
      </c>
      <c r="C1803" s="10"/>
      <c r="D1803" s="10"/>
      <c r="E1803" s="10">
        <v>5</v>
      </c>
      <c r="F1803" s="27"/>
      <c r="G1803" s="10"/>
      <c r="H1803" s="10" t="s">
        <v>116</v>
      </c>
      <c r="I1803" s="37">
        <f>I1804+I1805+I1806+I1811</f>
        <v>66337</v>
      </c>
      <c r="J1803" s="37">
        <f>J1804+J1805+J1806+J1811</f>
        <v>63207</v>
      </c>
      <c r="K1803" s="218">
        <f t="shared" si="150"/>
        <v>95.281667847505915</v>
      </c>
      <c r="L1803" s="295"/>
      <c r="M1803" s="299">
        <f>M1812</f>
        <v>10500</v>
      </c>
      <c r="N1803" s="37">
        <f>N1812</f>
        <v>4990</v>
      </c>
      <c r="O1803" s="218">
        <f t="shared" si="151"/>
        <v>47.523809523809526</v>
      </c>
      <c r="P1803" s="295"/>
      <c r="Q1803" s="299">
        <f t="shared" si="155"/>
        <v>76837</v>
      </c>
      <c r="R1803" s="37">
        <f t="shared" si="155"/>
        <v>68197</v>
      </c>
      <c r="S1803" s="219">
        <f t="shared" si="153"/>
        <v>88.755417311972096</v>
      </c>
    </row>
    <row r="1804" spans="2:19" x14ac:dyDescent="0.2">
      <c r="B1804" s="78">
        <f t="shared" si="149"/>
        <v>37</v>
      </c>
      <c r="C1804" s="7"/>
      <c r="D1804" s="7"/>
      <c r="E1804" s="7"/>
      <c r="F1804" s="24" t="s">
        <v>58</v>
      </c>
      <c r="G1804" s="7">
        <v>610</v>
      </c>
      <c r="H1804" s="7" t="s">
        <v>143</v>
      </c>
      <c r="I1804" s="22">
        <v>32213</v>
      </c>
      <c r="J1804" s="22">
        <v>32213</v>
      </c>
      <c r="K1804" s="218">
        <f t="shared" si="150"/>
        <v>100</v>
      </c>
      <c r="L1804" s="278"/>
      <c r="M1804" s="284"/>
      <c r="N1804" s="22"/>
      <c r="O1804" s="218"/>
      <c r="P1804" s="278"/>
      <c r="Q1804" s="284">
        <f t="shared" si="155"/>
        <v>32213</v>
      </c>
      <c r="R1804" s="22">
        <f t="shared" si="155"/>
        <v>32213</v>
      </c>
      <c r="S1804" s="219">
        <f t="shared" si="153"/>
        <v>100</v>
      </c>
    </row>
    <row r="1805" spans="2:19" x14ac:dyDescent="0.2">
      <c r="B1805" s="78">
        <f t="shared" si="149"/>
        <v>38</v>
      </c>
      <c r="C1805" s="7"/>
      <c r="D1805" s="7"/>
      <c r="E1805" s="7"/>
      <c r="F1805" s="24" t="s">
        <v>58</v>
      </c>
      <c r="G1805" s="7">
        <v>620</v>
      </c>
      <c r="H1805" s="7" t="s">
        <v>136</v>
      </c>
      <c r="I1805" s="22">
        <v>11936</v>
      </c>
      <c r="J1805" s="22">
        <v>11936</v>
      </c>
      <c r="K1805" s="218">
        <f t="shared" si="150"/>
        <v>100</v>
      </c>
      <c r="L1805" s="278"/>
      <c r="M1805" s="284"/>
      <c r="N1805" s="22"/>
      <c r="O1805" s="218"/>
      <c r="P1805" s="278"/>
      <c r="Q1805" s="284">
        <f t="shared" si="155"/>
        <v>11936</v>
      </c>
      <c r="R1805" s="22">
        <f t="shared" si="155"/>
        <v>11936</v>
      </c>
      <c r="S1805" s="219">
        <f t="shared" si="153"/>
        <v>100</v>
      </c>
    </row>
    <row r="1806" spans="2:19" x14ac:dyDescent="0.2">
      <c r="B1806" s="78">
        <f t="shared" si="149"/>
        <v>39</v>
      </c>
      <c r="C1806" s="7"/>
      <c r="D1806" s="7"/>
      <c r="E1806" s="7"/>
      <c r="F1806" s="24" t="s">
        <v>58</v>
      </c>
      <c r="G1806" s="7">
        <v>630</v>
      </c>
      <c r="H1806" s="7" t="s">
        <v>133</v>
      </c>
      <c r="I1806" s="22">
        <f>I1810+I1809+I1808+I1807</f>
        <v>22078</v>
      </c>
      <c r="J1806" s="22">
        <f>J1810+J1809+J1808+J1807</f>
        <v>19058</v>
      </c>
      <c r="K1806" s="218">
        <f t="shared" si="150"/>
        <v>86.321224748618533</v>
      </c>
      <c r="L1806" s="278"/>
      <c r="M1806" s="284"/>
      <c r="N1806" s="22"/>
      <c r="O1806" s="218"/>
      <c r="P1806" s="278"/>
      <c r="Q1806" s="284">
        <f t="shared" si="155"/>
        <v>22078</v>
      </c>
      <c r="R1806" s="22">
        <f t="shared" si="155"/>
        <v>19058</v>
      </c>
      <c r="S1806" s="219">
        <f t="shared" si="153"/>
        <v>86.321224748618533</v>
      </c>
    </row>
    <row r="1807" spans="2:19" x14ac:dyDescent="0.2">
      <c r="B1807" s="78">
        <f t="shared" si="149"/>
        <v>40</v>
      </c>
      <c r="C1807" s="3"/>
      <c r="D1807" s="3"/>
      <c r="E1807" s="3"/>
      <c r="F1807" s="25" t="s">
        <v>58</v>
      </c>
      <c r="G1807" s="3">
        <v>632</v>
      </c>
      <c r="H1807" s="3" t="s">
        <v>146</v>
      </c>
      <c r="I1807" s="18">
        <v>6985</v>
      </c>
      <c r="J1807" s="18">
        <v>6408</v>
      </c>
      <c r="K1807" s="218">
        <f t="shared" si="150"/>
        <v>91.739441660701502</v>
      </c>
      <c r="L1807" s="279"/>
      <c r="M1807" s="285"/>
      <c r="N1807" s="18"/>
      <c r="O1807" s="218"/>
      <c r="P1807" s="279"/>
      <c r="Q1807" s="285">
        <f t="shared" si="155"/>
        <v>6985</v>
      </c>
      <c r="R1807" s="18">
        <f t="shared" si="155"/>
        <v>6408</v>
      </c>
      <c r="S1807" s="219">
        <f t="shared" si="153"/>
        <v>91.739441660701502</v>
      </c>
    </row>
    <row r="1808" spans="2:19" x14ac:dyDescent="0.2">
      <c r="B1808" s="78">
        <f t="shared" si="149"/>
        <v>41</v>
      </c>
      <c r="C1808" s="3"/>
      <c r="D1808" s="3"/>
      <c r="E1808" s="3"/>
      <c r="F1808" s="25" t="s">
        <v>58</v>
      </c>
      <c r="G1808" s="3">
        <v>633</v>
      </c>
      <c r="H1808" s="3" t="s">
        <v>137</v>
      </c>
      <c r="I1808" s="18">
        <f>730+400</f>
        <v>1130</v>
      </c>
      <c r="J1808" s="18">
        <v>885</v>
      </c>
      <c r="K1808" s="218">
        <f t="shared" si="150"/>
        <v>78.318584070796462</v>
      </c>
      <c r="L1808" s="279"/>
      <c r="M1808" s="285"/>
      <c r="N1808" s="18"/>
      <c r="O1808" s="218"/>
      <c r="P1808" s="279"/>
      <c r="Q1808" s="285">
        <f t="shared" si="155"/>
        <v>1130</v>
      </c>
      <c r="R1808" s="18">
        <f t="shared" si="155"/>
        <v>885</v>
      </c>
      <c r="S1808" s="219">
        <f t="shared" si="153"/>
        <v>78.318584070796462</v>
      </c>
    </row>
    <row r="1809" spans="2:19" x14ac:dyDescent="0.2">
      <c r="B1809" s="78">
        <f t="shared" si="149"/>
        <v>42</v>
      </c>
      <c r="C1809" s="3"/>
      <c r="D1809" s="3"/>
      <c r="E1809" s="3"/>
      <c r="F1809" s="25" t="s">
        <v>58</v>
      </c>
      <c r="G1809" s="3">
        <v>635</v>
      </c>
      <c r="H1809" s="3" t="s">
        <v>145</v>
      </c>
      <c r="I1809" s="18">
        <f>1750+5000</f>
        <v>6750</v>
      </c>
      <c r="J1809" s="18">
        <v>5813</v>
      </c>
      <c r="K1809" s="218">
        <f t="shared" si="150"/>
        <v>86.118518518518513</v>
      </c>
      <c r="L1809" s="279"/>
      <c r="M1809" s="285"/>
      <c r="N1809" s="18"/>
      <c r="O1809" s="218"/>
      <c r="P1809" s="279"/>
      <c r="Q1809" s="285">
        <f t="shared" si="155"/>
        <v>6750</v>
      </c>
      <c r="R1809" s="18">
        <f t="shared" si="155"/>
        <v>5813</v>
      </c>
      <c r="S1809" s="219">
        <f t="shared" si="153"/>
        <v>86.118518518518513</v>
      </c>
    </row>
    <row r="1810" spans="2:19" x14ac:dyDescent="0.2">
      <c r="B1810" s="78">
        <f t="shared" si="149"/>
        <v>43</v>
      </c>
      <c r="C1810" s="3"/>
      <c r="D1810" s="3"/>
      <c r="E1810" s="3"/>
      <c r="F1810" s="25" t="s">
        <v>58</v>
      </c>
      <c r="G1810" s="3">
        <v>637</v>
      </c>
      <c r="H1810" s="3" t="s">
        <v>134</v>
      </c>
      <c r="I1810" s="18">
        <v>7213</v>
      </c>
      <c r="J1810" s="18">
        <v>5952</v>
      </c>
      <c r="K1810" s="218">
        <f t="shared" si="150"/>
        <v>82.517676417579366</v>
      </c>
      <c r="L1810" s="279"/>
      <c r="M1810" s="285"/>
      <c r="N1810" s="18"/>
      <c r="O1810" s="218"/>
      <c r="P1810" s="279"/>
      <c r="Q1810" s="285">
        <f t="shared" si="155"/>
        <v>7213</v>
      </c>
      <c r="R1810" s="18">
        <f t="shared" si="155"/>
        <v>5952</v>
      </c>
      <c r="S1810" s="219">
        <f t="shared" si="153"/>
        <v>82.517676417579366</v>
      </c>
    </row>
    <row r="1811" spans="2:19" x14ac:dyDescent="0.2">
      <c r="B1811" s="78">
        <f t="shared" si="149"/>
        <v>44</v>
      </c>
      <c r="C1811" s="3"/>
      <c r="D1811" s="3"/>
      <c r="E1811" s="116"/>
      <c r="F1811" s="29" t="s">
        <v>58</v>
      </c>
      <c r="G1811" s="2">
        <v>640</v>
      </c>
      <c r="H1811" s="2" t="s">
        <v>141</v>
      </c>
      <c r="I1811" s="17">
        <v>110</v>
      </c>
      <c r="J1811" s="17">
        <v>0</v>
      </c>
      <c r="K1811" s="218">
        <f t="shared" si="150"/>
        <v>0</v>
      </c>
      <c r="L1811" s="278"/>
      <c r="M1811" s="289"/>
      <c r="N1811" s="17"/>
      <c r="O1811" s="218"/>
      <c r="P1811" s="278"/>
      <c r="Q1811" s="289">
        <f>I1811</f>
        <v>110</v>
      </c>
      <c r="R1811" s="17">
        <f>J1811</f>
        <v>0</v>
      </c>
      <c r="S1811" s="219">
        <f t="shared" si="153"/>
        <v>0</v>
      </c>
    </row>
    <row r="1812" spans="2:19" x14ac:dyDescent="0.2">
      <c r="B1812" s="78">
        <f t="shared" si="149"/>
        <v>45</v>
      </c>
      <c r="C1812" s="3"/>
      <c r="D1812" s="3"/>
      <c r="E1812" s="116"/>
      <c r="F1812" s="24" t="s">
        <v>58</v>
      </c>
      <c r="G1812" s="7">
        <v>710</v>
      </c>
      <c r="H1812" s="7" t="s">
        <v>188</v>
      </c>
      <c r="I1812" s="22"/>
      <c r="J1812" s="22"/>
      <c r="K1812" s="218"/>
      <c r="L1812" s="278"/>
      <c r="M1812" s="284">
        <f>M1815+M1813</f>
        <v>10500</v>
      </c>
      <c r="N1812" s="22">
        <f>N1815+N1813</f>
        <v>4990</v>
      </c>
      <c r="O1812" s="218">
        <f t="shared" si="151"/>
        <v>47.523809523809526</v>
      </c>
      <c r="P1812" s="278"/>
      <c r="Q1812" s="284">
        <f t="shared" si="155"/>
        <v>10500</v>
      </c>
      <c r="R1812" s="22">
        <f t="shared" si="155"/>
        <v>4990</v>
      </c>
      <c r="S1812" s="219">
        <f t="shared" si="153"/>
        <v>47.523809523809526</v>
      </c>
    </row>
    <row r="1813" spans="2:19" x14ac:dyDescent="0.2">
      <c r="B1813" s="78">
        <f t="shared" si="149"/>
        <v>46</v>
      </c>
      <c r="C1813" s="3"/>
      <c r="D1813" s="3"/>
      <c r="E1813" s="116"/>
      <c r="F1813" s="25" t="s">
        <v>58</v>
      </c>
      <c r="G1813" s="3">
        <v>716</v>
      </c>
      <c r="H1813" s="3" t="s">
        <v>231</v>
      </c>
      <c r="I1813" s="18"/>
      <c r="J1813" s="18"/>
      <c r="K1813" s="218"/>
      <c r="L1813" s="279"/>
      <c r="M1813" s="285">
        <f>M1814</f>
        <v>10500</v>
      </c>
      <c r="N1813" s="18">
        <f>N1814</f>
        <v>4990</v>
      </c>
      <c r="O1813" s="218">
        <f t="shared" si="151"/>
        <v>47.523809523809526</v>
      </c>
      <c r="P1813" s="279"/>
      <c r="Q1813" s="285">
        <f t="shared" si="155"/>
        <v>10500</v>
      </c>
      <c r="R1813" s="18">
        <f t="shared" si="155"/>
        <v>4990</v>
      </c>
      <c r="S1813" s="219">
        <f t="shared" si="153"/>
        <v>47.523809523809526</v>
      </c>
    </row>
    <row r="1814" spans="2:19" x14ac:dyDescent="0.2">
      <c r="B1814" s="78">
        <f t="shared" si="149"/>
        <v>47</v>
      </c>
      <c r="C1814" s="3"/>
      <c r="D1814" s="3"/>
      <c r="E1814" s="116"/>
      <c r="F1814" s="30"/>
      <c r="G1814" s="4"/>
      <c r="H1814" s="13" t="s">
        <v>608</v>
      </c>
      <c r="I1814" s="20"/>
      <c r="J1814" s="20"/>
      <c r="K1814" s="218"/>
      <c r="L1814" s="280"/>
      <c r="M1814" s="286">
        <f>10000+500</f>
        <v>10500</v>
      </c>
      <c r="N1814" s="20">
        <v>4990</v>
      </c>
      <c r="O1814" s="218">
        <f t="shared" si="151"/>
        <v>47.523809523809526</v>
      </c>
      <c r="P1814" s="280"/>
      <c r="Q1814" s="286">
        <f t="shared" si="155"/>
        <v>10500</v>
      </c>
      <c r="R1814" s="20">
        <f t="shared" si="155"/>
        <v>4990</v>
      </c>
      <c r="S1814" s="219">
        <f t="shared" si="153"/>
        <v>47.523809523809526</v>
      </c>
    </row>
    <row r="1815" spans="2:19" ht="15" x14ac:dyDescent="0.25">
      <c r="B1815" s="78">
        <f t="shared" si="149"/>
        <v>48</v>
      </c>
      <c r="C1815" s="429"/>
      <c r="D1815" s="429">
        <v>2</v>
      </c>
      <c r="E1815" s="493" t="s">
        <v>300</v>
      </c>
      <c r="F1815" s="494"/>
      <c r="G1815" s="494"/>
      <c r="H1815" s="495"/>
      <c r="I1815" s="36">
        <f>I1816</f>
        <v>73441</v>
      </c>
      <c r="J1815" s="36">
        <f>J1816</f>
        <v>64110</v>
      </c>
      <c r="K1815" s="218">
        <f t="shared" si="150"/>
        <v>87.294562982530195</v>
      </c>
      <c r="L1815" s="277"/>
      <c r="M1815" s="283">
        <v>0</v>
      </c>
      <c r="N1815" s="36">
        <v>0</v>
      </c>
      <c r="O1815" s="218"/>
      <c r="P1815" s="277"/>
      <c r="Q1815" s="283">
        <f t="shared" si="155"/>
        <v>73441</v>
      </c>
      <c r="R1815" s="36">
        <f t="shared" si="155"/>
        <v>64110</v>
      </c>
      <c r="S1815" s="219">
        <f t="shared" si="153"/>
        <v>87.294562982530195</v>
      </c>
    </row>
    <row r="1816" spans="2:19" ht="15" x14ac:dyDescent="0.25">
      <c r="B1816" s="78">
        <f t="shared" si="149"/>
        <v>49</v>
      </c>
      <c r="C1816" s="10"/>
      <c r="D1816" s="10"/>
      <c r="E1816" s="10">
        <v>5</v>
      </c>
      <c r="F1816" s="27"/>
      <c r="G1816" s="10"/>
      <c r="H1816" s="10" t="s">
        <v>116</v>
      </c>
      <c r="I1816" s="37">
        <f>I1817+I1818+I1819</f>
        <v>73441</v>
      </c>
      <c r="J1816" s="37">
        <f>J1817+J1818+J1819</f>
        <v>64110</v>
      </c>
      <c r="K1816" s="218">
        <f t="shared" si="150"/>
        <v>87.294562982530195</v>
      </c>
      <c r="L1816" s="295"/>
      <c r="M1816" s="299"/>
      <c r="N1816" s="37"/>
      <c r="O1816" s="218"/>
      <c r="P1816" s="295"/>
      <c r="Q1816" s="299">
        <f t="shared" si="155"/>
        <v>73441</v>
      </c>
      <c r="R1816" s="37">
        <f t="shared" si="155"/>
        <v>64110</v>
      </c>
      <c r="S1816" s="219">
        <f t="shared" si="153"/>
        <v>87.294562982530195</v>
      </c>
    </row>
    <row r="1817" spans="2:19" x14ac:dyDescent="0.2">
      <c r="B1817" s="78">
        <f t="shared" si="149"/>
        <v>50</v>
      </c>
      <c r="C1817" s="7"/>
      <c r="D1817" s="7"/>
      <c r="E1817" s="7"/>
      <c r="F1817" s="24" t="s">
        <v>58</v>
      </c>
      <c r="G1817" s="7">
        <v>610</v>
      </c>
      <c r="H1817" s="7" t="s">
        <v>143</v>
      </c>
      <c r="I1817" s="22">
        <f>40444-1414</f>
        <v>39030</v>
      </c>
      <c r="J1817" s="22">
        <v>39004</v>
      </c>
      <c r="K1817" s="218">
        <f t="shared" si="150"/>
        <v>99.93338457596721</v>
      </c>
      <c r="L1817" s="278"/>
      <c r="M1817" s="284"/>
      <c r="N1817" s="22"/>
      <c r="O1817" s="218"/>
      <c r="P1817" s="278"/>
      <c r="Q1817" s="284">
        <f t="shared" si="155"/>
        <v>39030</v>
      </c>
      <c r="R1817" s="22">
        <f t="shared" si="155"/>
        <v>39004</v>
      </c>
      <c r="S1817" s="219">
        <f t="shared" si="153"/>
        <v>99.93338457596721</v>
      </c>
    </row>
    <row r="1818" spans="2:19" x14ac:dyDescent="0.2">
      <c r="B1818" s="78">
        <f t="shared" si="149"/>
        <v>51</v>
      </c>
      <c r="C1818" s="7"/>
      <c r="D1818" s="7"/>
      <c r="E1818" s="7"/>
      <c r="F1818" s="24" t="s">
        <v>58</v>
      </c>
      <c r="G1818" s="7">
        <v>620</v>
      </c>
      <c r="H1818" s="7" t="s">
        <v>136</v>
      </c>
      <c r="I1818" s="22">
        <v>15209</v>
      </c>
      <c r="J1818" s="22">
        <v>14334</v>
      </c>
      <c r="K1818" s="218">
        <f t="shared" si="150"/>
        <v>94.246827536327174</v>
      </c>
      <c r="L1818" s="278"/>
      <c r="M1818" s="284"/>
      <c r="N1818" s="22"/>
      <c r="O1818" s="218"/>
      <c r="P1818" s="278"/>
      <c r="Q1818" s="284">
        <f t="shared" si="155"/>
        <v>15209</v>
      </c>
      <c r="R1818" s="22">
        <f t="shared" si="155"/>
        <v>14334</v>
      </c>
      <c r="S1818" s="219">
        <f t="shared" si="153"/>
        <v>94.246827536327174</v>
      </c>
    </row>
    <row r="1819" spans="2:19" x14ac:dyDescent="0.2">
      <c r="B1819" s="78">
        <f t="shared" si="149"/>
        <v>52</v>
      </c>
      <c r="C1819" s="7"/>
      <c r="D1819" s="7"/>
      <c r="E1819" s="7"/>
      <c r="F1819" s="24" t="s">
        <v>58</v>
      </c>
      <c r="G1819" s="7">
        <v>630</v>
      </c>
      <c r="H1819" s="7" t="s">
        <v>133</v>
      </c>
      <c r="I1819" s="22">
        <f>I1824+I1823+I1822+I1821+I1820</f>
        <v>19202</v>
      </c>
      <c r="J1819" s="22">
        <f>J1824+J1823+J1822+J1821+J1820</f>
        <v>10772</v>
      </c>
      <c r="K1819" s="218">
        <f t="shared" si="150"/>
        <v>56.098323091344646</v>
      </c>
      <c r="L1819" s="278"/>
      <c r="M1819" s="284"/>
      <c r="N1819" s="22"/>
      <c r="O1819" s="218"/>
      <c r="P1819" s="278"/>
      <c r="Q1819" s="284">
        <f t="shared" si="155"/>
        <v>19202</v>
      </c>
      <c r="R1819" s="22">
        <f t="shared" si="155"/>
        <v>10772</v>
      </c>
      <c r="S1819" s="219">
        <f t="shared" si="153"/>
        <v>56.098323091344646</v>
      </c>
    </row>
    <row r="1820" spans="2:19" x14ac:dyDescent="0.2">
      <c r="B1820" s="78">
        <f t="shared" si="149"/>
        <v>53</v>
      </c>
      <c r="C1820" s="3"/>
      <c r="D1820" s="3"/>
      <c r="E1820" s="3"/>
      <c r="F1820" s="25" t="s">
        <v>58</v>
      </c>
      <c r="G1820" s="3">
        <v>631</v>
      </c>
      <c r="H1820" s="3" t="s">
        <v>139</v>
      </c>
      <c r="I1820" s="18">
        <v>102</v>
      </c>
      <c r="J1820" s="18">
        <v>100</v>
      </c>
      <c r="K1820" s="218">
        <f t="shared" si="150"/>
        <v>98.039215686274503</v>
      </c>
      <c r="L1820" s="279"/>
      <c r="M1820" s="285"/>
      <c r="N1820" s="18"/>
      <c r="O1820" s="218"/>
      <c r="P1820" s="279"/>
      <c r="Q1820" s="285">
        <f t="shared" si="155"/>
        <v>102</v>
      </c>
      <c r="R1820" s="18">
        <f t="shared" si="155"/>
        <v>100</v>
      </c>
      <c r="S1820" s="219">
        <f t="shared" si="153"/>
        <v>98.039215686274503</v>
      </c>
    </row>
    <row r="1821" spans="2:19" x14ac:dyDescent="0.2">
      <c r="B1821" s="78">
        <f t="shared" si="149"/>
        <v>54</v>
      </c>
      <c r="C1821" s="3"/>
      <c r="D1821" s="3"/>
      <c r="E1821" s="3"/>
      <c r="F1821" s="25" t="s">
        <v>58</v>
      </c>
      <c r="G1821" s="3">
        <v>632</v>
      </c>
      <c r="H1821" s="3" t="s">
        <v>146</v>
      </c>
      <c r="I1821" s="18">
        <v>6518</v>
      </c>
      <c r="J1821" s="18">
        <v>4674</v>
      </c>
      <c r="K1821" s="218">
        <f t="shared" si="150"/>
        <v>71.709113224915626</v>
      </c>
      <c r="L1821" s="279"/>
      <c r="M1821" s="285"/>
      <c r="N1821" s="18"/>
      <c r="O1821" s="218"/>
      <c r="P1821" s="279"/>
      <c r="Q1821" s="285">
        <f t="shared" si="155"/>
        <v>6518</v>
      </c>
      <c r="R1821" s="18">
        <f t="shared" si="155"/>
        <v>4674</v>
      </c>
      <c r="S1821" s="219">
        <f t="shared" si="153"/>
        <v>71.709113224915626</v>
      </c>
    </row>
    <row r="1822" spans="2:19" x14ac:dyDescent="0.2">
      <c r="B1822" s="78">
        <f t="shared" si="149"/>
        <v>55</v>
      </c>
      <c r="C1822" s="3"/>
      <c r="D1822" s="3"/>
      <c r="E1822" s="3"/>
      <c r="F1822" s="25" t="s">
        <v>58</v>
      </c>
      <c r="G1822" s="3">
        <v>633</v>
      </c>
      <c r="H1822" s="3" t="s">
        <v>137</v>
      </c>
      <c r="I1822" s="18">
        <v>1085</v>
      </c>
      <c r="J1822" s="18">
        <v>423</v>
      </c>
      <c r="K1822" s="218">
        <f t="shared" si="150"/>
        <v>38.986175115207374</v>
      </c>
      <c r="L1822" s="279"/>
      <c r="M1822" s="285"/>
      <c r="N1822" s="18"/>
      <c r="O1822" s="218"/>
      <c r="P1822" s="279"/>
      <c r="Q1822" s="285">
        <f t="shared" si="155"/>
        <v>1085</v>
      </c>
      <c r="R1822" s="18">
        <f t="shared" si="155"/>
        <v>423</v>
      </c>
      <c r="S1822" s="219">
        <f t="shared" si="153"/>
        <v>38.986175115207374</v>
      </c>
    </row>
    <row r="1823" spans="2:19" x14ac:dyDescent="0.2">
      <c r="B1823" s="78">
        <f t="shared" si="149"/>
        <v>56</v>
      </c>
      <c r="C1823" s="3"/>
      <c r="D1823" s="3"/>
      <c r="E1823" s="3"/>
      <c r="F1823" s="25" t="s">
        <v>58</v>
      </c>
      <c r="G1823" s="3">
        <v>635</v>
      </c>
      <c r="H1823" s="3" t="s">
        <v>145</v>
      </c>
      <c r="I1823" s="18">
        <f>1100+1673</f>
        <v>2773</v>
      </c>
      <c r="J1823" s="18">
        <v>2057</v>
      </c>
      <c r="K1823" s="218">
        <f t="shared" si="150"/>
        <v>74.179588892895779</v>
      </c>
      <c r="L1823" s="279"/>
      <c r="M1823" s="285"/>
      <c r="N1823" s="18"/>
      <c r="O1823" s="218"/>
      <c r="P1823" s="279"/>
      <c r="Q1823" s="285">
        <f t="shared" si="155"/>
        <v>2773</v>
      </c>
      <c r="R1823" s="18">
        <f t="shared" si="155"/>
        <v>2057</v>
      </c>
      <c r="S1823" s="219">
        <f t="shared" si="153"/>
        <v>74.179588892895779</v>
      </c>
    </row>
    <row r="1824" spans="2:19" x14ac:dyDescent="0.2">
      <c r="B1824" s="78">
        <f t="shared" si="149"/>
        <v>57</v>
      </c>
      <c r="C1824" s="3"/>
      <c r="D1824" s="3"/>
      <c r="E1824" s="3"/>
      <c r="F1824" s="25" t="s">
        <v>58</v>
      </c>
      <c r="G1824" s="3">
        <v>637</v>
      </c>
      <c r="H1824" s="3" t="s">
        <v>134</v>
      </c>
      <c r="I1824" s="18">
        <v>8724</v>
      </c>
      <c r="J1824" s="18">
        <v>3518</v>
      </c>
      <c r="K1824" s="218">
        <f t="shared" si="150"/>
        <v>40.325538743695553</v>
      </c>
      <c r="L1824" s="279"/>
      <c r="M1824" s="285"/>
      <c r="N1824" s="18"/>
      <c r="O1824" s="218"/>
      <c r="P1824" s="279"/>
      <c r="Q1824" s="285">
        <f t="shared" si="155"/>
        <v>8724</v>
      </c>
      <c r="R1824" s="18">
        <f t="shared" si="155"/>
        <v>3518</v>
      </c>
      <c r="S1824" s="219">
        <f t="shared" si="153"/>
        <v>40.325538743695553</v>
      </c>
    </row>
    <row r="1825" spans="2:19" ht="15" x14ac:dyDescent="0.2">
      <c r="B1825" s="78">
        <f t="shared" si="149"/>
        <v>58</v>
      </c>
      <c r="C1825" s="430">
        <v>5</v>
      </c>
      <c r="D1825" s="505" t="s">
        <v>191</v>
      </c>
      <c r="E1825" s="494"/>
      <c r="F1825" s="494"/>
      <c r="G1825" s="494"/>
      <c r="H1825" s="495"/>
      <c r="I1825" s="35">
        <f>I1848+I1836+I1826</f>
        <v>634555</v>
      </c>
      <c r="J1825" s="35">
        <f>J1848+J1836+J1826</f>
        <v>613780</v>
      </c>
      <c r="K1825" s="218">
        <f t="shared" si="150"/>
        <v>96.726052115261879</v>
      </c>
      <c r="L1825" s="276"/>
      <c r="M1825" s="282">
        <v>0</v>
      </c>
      <c r="N1825" s="35">
        <v>0</v>
      </c>
      <c r="O1825" s="218"/>
      <c r="P1825" s="276"/>
      <c r="Q1825" s="282">
        <f t="shared" si="155"/>
        <v>634555</v>
      </c>
      <c r="R1825" s="35">
        <f t="shared" si="155"/>
        <v>613780</v>
      </c>
      <c r="S1825" s="219">
        <f t="shared" si="153"/>
        <v>96.726052115261879</v>
      </c>
    </row>
    <row r="1826" spans="2:19" ht="15" x14ac:dyDescent="0.25">
      <c r="B1826" s="78">
        <f t="shared" si="149"/>
        <v>59</v>
      </c>
      <c r="C1826" s="429"/>
      <c r="D1826" s="429">
        <v>1</v>
      </c>
      <c r="E1826" s="493" t="s">
        <v>190</v>
      </c>
      <c r="F1826" s="494"/>
      <c r="G1826" s="494"/>
      <c r="H1826" s="495"/>
      <c r="I1826" s="36">
        <f>I1827+I1831</f>
        <v>8891</v>
      </c>
      <c r="J1826" s="36">
        <f>J1827+J1831</f>
        <v>8766</v>
      </c>
      <c r="K1826" s="218">
        <f t="shared" si="150"/>
        <v>98.594083905072551</v>
      </c>
      <c r="L1826" s="277"/>
      <c r="M1826" s="283"/>
      <c r="N1826" s="36"/>
      <c r="O1826" s="218"/>
      <c r="P1826" s="277"/>
      <c r="Q1826" s="283">
        <f t="shared" si="155"/>
        <v>8891</v>
      </c>
      <c r="R1826" s="36">
        <f t="shared" si="155"/>
        <v>8766</v>
      </c>
      <c r="S1826" s="219">
        <f t="shared" si="153"/>
        <v>98.594083905072551</v>
      </c>
    </row>
    <row r="1827" spans="2:19" x14ac:dyDescent="0.2">
      <c r="B1827" s="78">
        <f t="shared" si="149"/>
        <v>60</v>
      </c>
      <c r="C1827" s="7"/>
      <c r="D1827" s="7"/>
      <c r="E1827" s="7"/>
      <c r="F1827" s="24" t="s">
        <v>85</v>
      </c>
      <c r="G1827" s="7">
        <v>630</v>
      </c>
      <c r="H1827" s="7" t="s">
        <v>133</v>
      </c>
      <c r="I1827" s="22">
        <f>SUM(I1828:I1830)</f>
        <v>6661</v>
      </c>
      <c r="J1827" s="22">
        <f>SUM(J1828:J1830)</f>
        <v>6536</v>
      </c>
      <c r="K1827" s="218">
        <f t="shared" si="150"/>
        <v>98.123404894160032</v>
      </c>
      <c r="L1827" s="278"/>
      <c r="M1827" s="284"/>
      <c r="N1827" s="22"/>
      <c r="O1827" s="218"/>
      <c r="P1827" s="278"/>
      <c r="Q1827" s="284">
        <f t="shared" si="155"/>
        <v>6661</v>
      </c>
      <c r="R1827" s="22">
        <f t="shared" si="155"/>
        <v>6536</v>
      </c>
      <c r="S1827" s="219">
        <f t="shared" si="153"/>
        <v>98.123404894160032</v>
      </c>
    </row>
    <row r="1828" spans="2:19" x14ac:dyDescent="0.2">
      <c r="B1828" s="78">
        <f t="shared" si="149"/>
        <v>61</v>
      </c>
      <c r="C1828" s="3"/>
      <c r="D1828" s="3"/>
      <c r="E1828" s="3"/>
      <c r="F1828" s="25" t="s">
        <v>85</v>
      </c>
      <c r="G1828" s="3">
        <v>633</v>
      </c>
      <c r="H1828" s="3" t="s">
        <v>137</v>
      </c>
      <c r="I1828" s="18">
        <f>3183+500-280+432</f>
        <v>3835</v>
      </c>
      <c r="J1828" s="18">
        <v>3735</v>
      </c>
      <c r="K1828" s="218">
        <f t="shared" si="150"/>
        <v>97.392438070404168</v>
      </c>
      <c r="L1828" s="279"/>
      <c r="M1828" s="285"/>
      <c r="N1828" s="18"/>
      <c r="O1828" s="218"/>
      <c r="P1828" s="279"/>
      <c r="Q1828" s="285">
        <f t="shared" si="155"/>
        <v>3835</v>
      </c>
      <c r="R1828" s="18">
        <f t="shared" si="155"/>
        <v>3735</v>
      </c>
      <c r="S1828" s="219">
        <f t="shared" si="153"/>
        <v>97.392438070404168</v>
      </c>
    </row>
    <row r="1829" spans="2:19" x14ac:dyDescent="0.2">
      <c r="B1829" s="78">
        <f t="shared" si="149"/>
        <v>62</v>
      </c>
      <c r="C1829" s="3"/>
      <c r="D1829" s="3"/>
      <c r="E1829" s="3"/>
      <c r="F1829" s="25" t="s">
        <v>85</v>
      </c>
      <c r="G1829" s="3">
        <v>634</v>
      </c>
      <c r="H1829" s="3" t="s">
        <v>144</v>
      </c>
      <c r="I1829" s="18">
        <f>350+280</f>
        <v>630</v>
      </c>
      <c r="J1829" s="18">
        <v>605</v>
      </c>
      <c r="K1829" s="218">
        <f t="shared" si="150"/>
        <v>96.031746031746039</v>
      </c>
      <c r="L1829" s="279"/>
      <c r="M1829" s="285"/>
      <c r="N1829" s="18"/>
      <c r="O1829" s="218"/>
      <c r="P1829" s="279"/>
      <c r="Q1829" s="285">
        <f t="shared" si="155"/>
        <v>630</v>
      </c>
      <c r="R1829" s="18">
        <f t="shared" si="155"/>
        <v>605</v>
      </c>
      <c r="S1829" s="219">
        <f t="shared" si="153"/>
        <v>96.031746031746039</v>
      </c>
    </row>
    <row r="1830" spans="2:19" x14ac:dyDescent="0.2">
      <c r="B1830" s="78">
        <f t="shared" si="149"/>
        <v>63</v>
      </c>
      <c r="C1830" s="3"/>
      <c r="D1830" s="3"/>
      <c r="E1830" s="3"/>
      <c r="F1830" s="25" t="s">
        <v>85</v>
      </c>
      <c r="G1830" s="3">
        <v>637</v>
      </c>
      <c r="H1830" s="3" t="s">
        <v>134</v>
      </c>
      <c r="I1830" s="18">
        <f>2628-432</f>
        <v>2196</v>
      </c>
      <c r="J1830" s="18">
        <v>2196</v>
      </c>
      <c r="K1830" s="218">
        <f t="shared" si="150"/>
        <v>100</v>
      </c>
      <c r="L1830" s="279"/>
      <c r="M1830" s="285"/>
      <c r="N1830" s="18"/>
      <c r="O1830" s="218"/>
      <c r="P1830" s="279"/>
      <c r="Q1830" s="285">
        <f t="shared" si="155"/>
        <v>2196</v>
      </c>
      <c r="R1830" s="18">
        <f t="shared" si="155"/>
        <v>2196</v>
      </c>
      <c r="S1830" s="219">
        <f t="shared" si="153"/>
        <v>100</v>
      </c>
    </row>
    <row r="1831" spans="2:19" x14ac:dyDescent="0.2">
      <c r="B1831" s="78">
        <f t="shared" si="149"/>
        <v>64</v>
      </c>
      <c r="C1831" s="7"/>
      <c r="D1831" s="7"/>
      <c r="E1831" s="7"/>
      <c r="F1831" s="24" t="s">
        <v>82</v>
      </c>
      <c r="G1831" s="7">
        <v>640</v>
      </c>
      <c r="H1831" s="7" t="s">
        <v>141</v>
      </c>
      <c r="I1831" s="22">
        <f>I1832</f>
        <v>2230</v>
      </c>
      <c r="J1831" s="22">
        <f>J1832</f>
        <v>2230</v>
      </c>
      <c r="K1831" s="218">
        <f t="shared" si="150"/>
        <v>100</v>
      </c>
      <c r="L1831" s="278"/>
      <c r="M1831" s="284"/>
      <c r="N1831" s="22"/>
      <c r="O1831" s="218"/>
      <c r="P1831" s="278"/>
      <c r="Q1831" s="284">
        <f t="shared" si="155"/>
        <v>2230</v>
      </c>
      <c r="R1831" s="22">
        <f t="shared" si="155"/>
        <v>2230</v>
      </c>
      <c r="S1831" s="219">
        <f t="shared" si="153"/>
        <v>100</v>
      </c>
    </row>
    <row r="1832" spans="2:19" x14ac:dyDescent="0.2">
      <c r="B1832" s="78">
        <f t="shared" ref="B1832:B1895" si="156">B1831+1</f>
        <v>65</v>
      </c>
      <c r="C1832" s="3"/>
      <c r="D1832" s="3"/>
      <c r="E1832" s="3"/>
      <c r="F1832" s="25" t="s">
        <v>82</v>
      </c>
      <c r="G1832" s="3">
        <v>642</v>
      </c>
      <c r="H1832" s="3" t="s">
        <v>142</v>
      </c>
      <c r="I1832" s="18">
        <f>I1835+I1834+I1833</f>
        <v>2230</v>
      </c>
      <c r="J1832" s="18">
        <f>J1835+J1834+J1833</f>
        <v>2230</v>
      </c>
      <c r="K1832" s="218">
        <f t="shared" ref="K1832:K1895" si="157">J1832/I1832*100</f>
        <v>100</v>
      </c>
      <c r="L1832" s="279"/>
      <c r="M1832" s="285"/>
      <c r="N1832" s="18"/>
      <c r="O1832" s="218"/>
      <c r="P1832" s="279"/>
      <c r="Q1832" s="285">
        <f t="shared" si="155"/>
        <v>2230</v>
      </c>
      <c r="R1832" s="18">
        <f t="shared" si="155"/>
        <v>2230</v>
      </c>
      <c r="S1832" s="219">
        <f t="shared" ref="S1832:S1895" si="158">R1832/Q1832*100</f>
        <v>100</v>
      </c>
    </row>
    <row r="1833" spans="2:19" x14ac:dyDescent="0.2">
      <c r="B1833" s="78">
        <f t="shared" si="156"/>
        <v>66</v>
      </c>
      <c r="C1833" s="4"/>
      <c r="D1833" s="4"/>
      <c r="E1833" s="4"/>
      <c r="F1833" s="26"/>
      <c r="G1833" s="4"/>
      <c r="H1833" s="4" t="s">
        <v>248</v>
      </c>
      <c r="I1833" s="20">
        <v>500</v>
      </c>
      <c r="J1833" s="20">
        <v>500</v>
      </c>
      <c r="K1833" s="218">
        <f t="shared" si="157"/>
        <v>100</v>
      </c>
      <c r="L1833" s="280"/>
      <c r="M1833" s="286"/>
      <c r="N1833" s="20"/>
      <c r="O1833" s="218"/>
      <c r="P1833" s="280"/>
      <c r="Q1833" s="286">
        <f t="shared" si="155"/>
        <v>500</v>
      </c>
      <c r="R1833" s="20">
        <f t="shared" si="155"/>
        <v>500</v>
      </c>
      <c r="S1833" s="219">
        <f t="shared" si="158"/>
        <v>100</v>
      </c>
    </row>
    <row r="1834" spans="2:19" x14ac:dyDescent="0.2">
      <c r="B1834" s="78">
        <f t="shared" si="156"/>
        <v>67</v>
      </c>
      <c r="C1834" s="4"/>
      <c r="D1834" s="4"/>
      <c r="E1834" s="4"/>
      <c r="F1834" s="26"/>
      <c r="G1834" s="4"/>
      <c r="H1834" s="4" t="s">
        <v>249</v>
      </c>
      <c r="I1834" s="20">
        <v>1500</v>
      </c>
      <c r="J1834" s="20">
        <v>1500</v>
      </c>
      <c r="K1834" s="218">
        <f t="shared" si="157"/>
        <v>100</v>
      </c>
      <c r="L1834" s="280"/>
      <c r="M1834" s="286"/>
      <c r="N1834" s="20"/>
      <c r="O1834" s="218"/>
      <c r="P1834" s="280"/>
      <c r="Q1834" s="286">
        <f t="shared" si="155"/>
        <v>1500</v>
      </c>
      <c r="R1834" s="20">
        <f t="shared" si="155"/>
        <v>1500</v>
      </c>
      <c r="S1834" s="219">
        <f t="shared" si="158"/>
        <v>100</v>
      </c>
    </row>
    <row r="1835" spans="2:19" x14ac:dyDescent="0.2">
      <c r="B1835" s="78">
        <f t="shared" si="156"/>
        <v>68</v>
      </c>
      <c r="C1835" s="4"/>
      <c r="D1835" s="4"/>
      <c r="E1835" s="4"/>
      <c r="F1835" s="26"/>
      <c r="G1835" s="4"/>
      <c r="H1835" s="4" t="s">
        <v>6</v>
      </c>
      <c r="I1835" s="20">
        <v>230</v>
      </c>
      <c r="J1835" s="20">
        <v>230</v>
      </c>
      <c r="K1835" s="218">
        <f t="shared" si="157"/>
        <v>100</v>
      </c>
      <c r="L1835" s="280"/>
      <c r="M1835" s="286"/>
      <c r="N1835" s="20"/>
      <c r="O1835" s="218"/>
      <c r="P1835" s="280"/>
      <c r="Q1835" s="286">
        <f t="shared" si="155"/>
        <v>230</v>
      </c>
      <c r="R1835" s="20">
        <f t="shared" si="155"/>
        <v>230</v>
      </c>
      <c r="S1835" s="219">
        <f t="shared" si="158"/>
        <v>100</v>
      </c>
    </row>
    <row r="1836" spans="2:19" ht="15" x14ac:dyDescent="0.25">
      <c r="B1836" s="78">
        <f t="shared" si="156"/>
        <v>69</v>
      </c>
      <c r="C1836" s="429"/>
      <c r="D1836" s="429">
        <v>2</v>
      </c>
      <c r="E1836" s="493" t="s">
        <v>66</v>
      </c>
      <c r="F1836" s="494"/>
      <c r="G1836" s="494"/>
      <c r="H1836" s="495"/>
      <c r="I1836" s="36">
        <f>I1837</f>
        <v>603099</v>
      </c>
      <c r="J1836" s="36">
        <f>J1837</f>
        <v>589648</v>
      </c>
      <c r="K1836" s="218">
        <f t="shared" si="157"/>
        <v>97.769686237251264</v>
      </c>
      <c r="L1836" s="277"/>
      <c r="M1836" s="283">
        <v>0</v>
      </c>
      <c r="N1836" s="36">
        <v>0</v>
      </c>
      <c r="O1836" s="218"/>
      <c r="P1836" s="277"/>
      <c r="Q1836" s="283">
        <f t="shared" si="155"/>
        <v>603099</v>
      </c>
      <c r="R1836" s="36">
        <f t="shared" si="155"/>
        <v>589648</v>
      </c>
      <c r="S1836" s="219">
        <f t="shared" si="158"/>
        <v>97.769686237251264</v>
      </c>
    </row>
    <row r="1837" spans="2:19" ht="15" x14ac:dyDescent="0.25">
      <c r="B1837" s="78">
        <f t="shared" si="156"/>
        <v>70</v>
      </c>
      <c r="C1837" s="10"/>
      <c r="D1837" s="10"/>
      <c r="E1837" s="10">
        <v>5</v>
      </c>
      <c r="F1837" s="27"/>
      <c r="G1837" s="10"/>
      <c r="H1837" s="10" t="s">
        <v>116</v>
      </c>
      <c r="I1837" s="37">
        <f>I1838+I1839+I1840+I1847</f>
        <v>603099</v>
      </c>
      <c r="J1837" s="37">
        <f>J1838+J1839+J1840+J1847</f>
        <v>589648</v>
      </c>
      <c r="K1837" s="218">
        <f t="shared" si="157"/>
        <v>97.769686237251264</v>
      </c>
      <c r="L1837" s="295"/>
      <c r="M1837" s="299"/>
      <c r="N1837" s="37"/>
      <c r="O1837" s="218"/>
      <c r="P1837" s="295"/>
      <c r="Q1837" s="299">
        <f t="shared" si="155"/>
        <v>603099</v>
      </c>
      <c r="R1837" s="37">
        <f t="shared" si="155"/>
        <v>589648</v>
      </c>
      <c r="S1837" s="219">
        <f t="shared" si="158"/>
        <v>97.769686237251264</v>
      </c>
    </row>
    <row r="1838" spans="2:19" x14ac:dyDescent="0.2">
      <c r="B1838" s="78">
        <f t="shared" si="156"/>
        <v>71</v>
      </c>
      <c r="C1838" s="7"/>
      <c r="D1838" s="7"/>
      <c r="E1838" s="7"/>
      <c r="F1838" s="24" t="s">
        <v>85</v>
      </c>
      <c r="G1838" s="7">
        <v>610</v>
      </c>
      <c r="H1838" s="7" t="s">
        <v>143</v>
      </c>
      <c r="I1838" s="22">
        <v>279799</v>
      </c>
      <c r="J1838" s="22">
        <v>279799</v>
      </c>
      <c r="K1838" s="218">
        <f t="shared" si="157"/>
        <v>100</v>
      </c>
      <c r="L1838" s="278"/>
      <c r="M1838" s="284"/>
      <c r="N1838" s="22"/>
      <c r="O1838" s="218"/>
      <c r="P1838" s="278"/>
      <c r="Q1838" s="284">
        <f t="shared" ref="Q1838:R1870" si="159">I1838+M1838</f>
        <v>279799</v>
      </c>
      <c r="R1838" s="22">
        <f t="shared" si="159"/>
        <v>279799</v>
      </c>
      <c r="S1838" s="219">
        <f t="shared" si="158"/>
        <v>100</v>
      </c>
    </row>
    <row r="1839" spans="2:19" x14ac:dyDescent="0.2">
      <c r="B1839" s="78">
        <f t="shared" si="156"/>
        <v>72</v>
      </c>
      <c r="C1839" s="7"/>
      <c r="D1839" s="7"/>
      <c r="E1839" s="7"/>
      <c r="F1839" s="24" t="s">
        <v>85</v>
      </c>
      <c r="G1839" s="7">
        <v>620</v>
      </c>
      <c r="H1839" s="7" t="s">
        <v>136</v>
      </c>
      <c r="I1839" s="22">
        <v>101730</v>
      </c>
      <c r="J1839" s="22">
        <v>100530</v>
      </c>
      <c r="K1839" s="218">
        <f t="shared" si="157"/>
        <v>98.820406959598941</v>
      </c>
      <c r="L1839" s="278"/>
      <c r="M1839" s="284"/>
      <c r="N1839" s="22"/>
      <c r="O1839" s="218"/>
      <c r="P1839" s="278"/>
      <c r="Q1839" s="284">
        <f t="shared" si="159"/>
        <v>101730</v>
      </c>
      <c r="R1839" s="22">
        <f t="shared" si="159"/>
        <v>100530</v>
      </c>
      <c r="S1839" s="219">
        <f t="shared" si="158"/>
        <v>98.820406959598941</v>
      </c>
    </row>
    <row r="1840" spans="2:19" x14ac:dyDescent="0.2">
      <c r="B1840" s="78">
        <f t="shared" si="156"/>
        <v>73</v>
      </c>
      <c r="C1840" s="7"/>
      <c r="D1840" s="7"/>
      <c r="E1840" s="7"/>
      <c r="F1840" s="24" t="s">
        <v>85</v>
      </c>
      <c r="G1840" s="7">
        <v>630</v>
      </c>
      <c r="H1840" s="7" t="s">
        <v>133</v>
      </c>
      <c r="I1840" s="22">
        <f>I1846+I1845+I1844+I1843+I1842+I1841</f>
        <v>218114</v>
      </c>
      <c r="J1840" s="22">
        <f>J1846+J1845+J1844+J1843+J1842+J1841</f>
        <v>207660</v>
      </c>
      <c r="K1840" s="218">
        <f t="shared" si="157"/>
        <v>95.207093538241466</v>
      </c>
      <c r="L1840" s="278"/>
      <c r="M1840" s="284"/>
      <c r="N1840" s="22"/>
      <c r="O1840" s="218"/>
      <c r="P1840" s="278"/>
      <c r="Q1840" s="284">
        <f t="shared" si="159"/>
        <v>218114</v>
      </c>
      <c r="R1840" s="22">
        <f t="shared" si="159"/>
        <v>207660</v>
      </c>
      <c r="S1840" s="219">
        <f t="shared" si="158"/>
        <v>95.207093538241466</v>
      </c>
    </row>
    <row r="1841" spans="2:19" x14ac:dyDescent="0.2">
      <c r="B1841" s="78">
        <f t="shared" si="156"/>
        <v>74</v>
      </c>
      <c r="C1841" s="3"/>
      <c r="D1841" s="3"/>
      <c r="E1841" s="3"/>
      <c r="F1841" s="25" t="s">
        <v>85</v>
      </c>
      <c r="G1841" s="3">
        <v>631</v>
      </c>
      <c r="H1841" s="3" t="s">
        <v>139</v>
      </c>
      <c r="I1841" s="18">
        <v>200</v>
      </c>
      <c r="J1841" s="18">
        <v>0</v>
      </c>
      <c r="K1841" s="218">
        <f t="shared" si="157"/>
        <v>0</v>
      </c>
      <c r="L1841" s="279"/>
      <c r="M1841" s="285"/>
      <c r="N1841" s="18"/>
      <c r="O1841" s="218"/>
      <c r="P1841" s="279"/>
      <c r="Q1841" s="285">
        <f t="shared" si="159"/>
        <v>200</v>
      </c>
      <c r="R1841" s="18">
        <f t="shared" si="159"/>
        <v>0</v>
      </c>
      <c r="S1841" s="219">
        <f t="shared" si="158"/>
        <v>0</v>
      </c>
    </row>
    <row r="1842" spans="2:19" x14ac:dyDescent="0.2">
      <c r="B1842" s="78">
        <f t="shared" si="156"/>
        <v>75</v>
      </c>
      <c r="C1842" s="3"/>
      <c r="D1842" s="3"/>
      <c r="E1842" s="3"/>
      <c r="F1842" s="25" t="s">
        <v>85</v>
      </c>
      <c r="G1842" s="3">
        <v>632</v>
      </c>
      <c r="H1842" s="3" t="s">
        <v>146</v>
      </c>
      <c r="I1842" s="18">
        <v>55750</v>
      </c>
      <c r="J1842" s="18">
        <v>49240</v>
      </c>
      <c r="K1842" s="218">
        <f t="shared" si="157"/>
        <v>88.322869955156946</v>
      </c>
      <c r="L1842" s="279"/>
      <c r="M1842" s="285"/>
      <c r="N1842" s="18"/>
      <c r="O1842" s="218"/>
      <c r="P1842" s="279"/>
      <c r="Q1842" s="285">
        <f t="shared" si="159"/>
        <v>55750</v>
      </c>
      <c r="R1842" s="18">
        <f t="shared" si="159"/>
        <v>49240</v>
      </c>
      <c r="S1842" s="219">
        <f t="shared" si="158"/>
        <v>88.322869955156946</v>
      </c>
    </row>
    <row r="1843" spans="2:19" x14ac:dyDescent="0.2">
      <c r="B1843" s="78">
        <f t="shared" si="156"/>
        <v>76</v>
      </c>
      <c r="C1843" s="3"/>
      <c r="D1843" s="3"/>
      <c r="E1843" s="3"/>
      <c r="F1843" s="25" t="s">
        <v>85</v>
      </c>
      <c r="G1843" s="3">
        <v>633</v>
      </c>
      <c r="H1843" s="3" t="s">
        <v>137</v>
      </c>
      <c r="I1843" s="18">
        <f>21472+770-1249</f>
        <v>20993</v>
      </c>
      <c r="J1843" s="18">
        <v>20962</v>
      </c>
      <c r="K1843" s="218">
        <f t="shared" si="157"/>
        <v>99.852331729624154</v>
      </c>
      <c r="L1843" s="279"/>
      <c r="M1843" s="285"/>
      <c r="N1843" s="18"/>
      <c r="O1843" s="218"/>
      <c r="P1843" s="279"/>
      <c r="Q1843" s="285">
        <f t="shared" si="159"/>
        <v>20993</v>
      </c>
      <c r="R1843" s="18">
        <f t="shared" si="159"/>
        <v>20962</v>
      </c>
      <c r="S1843" s="219">
        <f t="shared" si="158"/>
        <v>99.852331729624154</v>
      </c>
    </row>
    <row r="1844" spans="2:19" x14ac:dyDescent="0.2">
      <c r="B1844" s="78">
        <f t="shared" si="156"/>
        <v>77</v>
      </c>
      <c r="C1844" s="3"/>
      <c r="D1844" s="3"/>
      <c r="E1844" s="3"/>
      <c r="F1844" s="25" t="s">
        <v>85</v>
      </c>
      <c r="G1844" s="3">
        <v>634</v>
      </c>
      <c r="H1844" s="3" t="s">
        <v>144</v>
      </c>
      <c r="I1844" s="18">
        <v>2350</v>
      </c>
      <c r="J1844" s="18">
        <v>1459</v>
      </c>
      <c r="K1844" s="218">
        <f t="shared" si="157"/>
        <v>62.085106382978729</v>
      </c>
      <c r="L1844" s="279"/>
      <c r="M1844" s="285"/>
      <c r="N1844" s="18"/>
      <c r="O1844" s="218"/>
      <c r="P1844" s="279"/>
      <c r="Q1844" s="285">
        <f t="shared" si="159"/>
        <v>2350</v>
      </c>
      <c r="R1844" s="18">
        <f t="shared" si="159"/>
        <v>1459</v>
      </c>
      <c r="S1844" s="219">
        <f t="shared" si="158"/>
        <v>62.085106382978729</v>
      </c>
    </row>
    <row r="1845" spans="2:19" x14ac:dyDescent="0.2">
      <c r="B1845" s="78">
        <f t="shared" si="156"/>
        <v>78</v>
      </c>
      <c r="C1845" s="3"/>
      <c r="D1845" s="3"/>
      <c r="E1845" s="3"/>
      <c r="F1845" s="25" t="s">
        <v>85</v>
      </c>
      <c r="G1845" s="3">
        <v>635</v>
      </c>
      <c r="H1845" s="3" t="s">
        <v>145</v>
      </c>
      <c r="I1845" s="18">
        <f>22274+500+6000</f>
        <v>28774</v>
      </c>
      <c r="J1845" s="18">
        <v>28293</v>
      </c>
      <c r="K1845" s="218">
        <f t="shared" si="157"/>
        <v>98.328351984430384</v>
      </c>
      <c r="L1845" s="279"/>
      <c r="M1845" s="285"/>
      <c r="N1845" s="18"/>
      <c r="O1845" s="218"/>
      <c r="P1845" s="279"/>
      <c r="Q1845" s="285">
        <f t="shared" si="159"/>
        <v>28774</v>
      </c>
      <c r="R1845" s="18">
        <f t="shared" si="159"/>
        <v>28293</v>
      </c>
      <c r="S1845" s="219">
        <f t="shared" si="158"/>
        <v>98.328351984430384</v>
      </c>
    </row>
    <row r="1846" spans="2:19" x14ac:dyDescent="0.2">
      <c r="B1846" s="78">
        <f t="shared" si="156"/>
        <v>79</v>
      </c>
      <c r="C1846" s="3"/>
      <c r="D1846" s="3"/>
      <c r="E1846" s="3"/>
      <c r="F1846" s="25" t="s">
        <v>85</v>
      </c>
      <c r="G1846" s="3">
        <v>637</v>
      </c>
      <c r="H1846" s="3" t="s">
        <v>134</v>
      </c>
      <c r="I1846" s="18">
        <f>104047+6000</f>
        <v>110047</v>
      </c>
      <c r="J1846" s="18">
        <v>107706</v>
      </c>
      <c r="K1846" s="218">
        <f t="shared" si="157"/>
        <v>97.872727107508609</v>
      </c>
      <c r="L1846" s="279"/>
      <c r="M1846" s="285"/>
      <c r="N1846" s="18"/>
      <c r="O1846" s="218"/>
      <c r="P1846" s="279"/>
      <c r="Q1846" s="285">
        <f t="shared" si="159"/>
        <v>110047</v>
      </c>
      <c r="R1846" s="18">
        <f t="shared" si="159"/>
        <v>107706</v>
      </c>
      <c r="S1846" s="219">
        <f t="shared" si="158"/>
        <v>97.872727107508609</v>
      </c>
    </row>
    <row r="1847" spans="2:19" x14ac:dyDescent="0.2">
      <c r="B1847" s="78">
        <f t="shared" si="156"/>
        <v>80</v>
      </c>
      <c r="C1847" s="3"/>
      <c r="D1847" s="3"/>
      <c r="E1847" s="116"/>
      <c r="F1847" s="24" t="s">
        <v>85</v>
      </c>
      <c r="G1847" s="7">
        <v>640</v>
      </c>
      <c r="H1847" s="7" t="s">
        <v>141</v>
      </c>
      <c r="I1847" s="22">
        <f>700+1956+800</f>
        <v>3456</v>
      </c>
      <c r="J1847" s="22">
        <v>1659</v>
      </c>
      <c r="K1847" s="218">
        <f t="shared" si="157"/>
        <v>48.003472222222221</v>
      </c>
      <c r="L1847" s="278"/>
      <c r="M1847" s="284"/>
      <c r="N1847" s="22"/>
      <c r="O1847" s="218"/>
      <c r="P1847" s="278"/>
      <c r="Q1847" s="284">
        <f t="shared" si="159"/>
        <v>3456</v>
      </c>
      <c r="R1847" s="22">
        <f t="shared" si="159"/>
        <v>1659</v>
      </c>
      <c r="S1847" s="219">
        <f t="shared" si="158"/>
        <v>48.003472222222221</v>
      </c>
    </row>
    <row r="1848" spans="2:19" ht="15" x14ac:dyDescent="0.25">
      <c r="B1848" s="78">
        <f t="shared" si="156"/>
        <v>81</v>
      </c>
      <c r="C1848" s="429"/>
      <c r="D1848" s="429">
        <v>3</v>
      </c>
      <c r="E1848" s="493" t="s">
        <v>7</v>
      </c>
      <c r="F1848" s="494"/>
      <c r="G1848" s="494"/>
      <c r="H1848" s="495"/>
      <c r="I1848" s="36">
        <f>I1849+I1854</f>
        <v>22565</v>
      </c>
      <c r="J1848" s="36">
        <f>J1849+J1854</f>
        <v>15366</v>
      </c>
      <c r="K1848" s="218">
        <f t="shared" si="157"/>
        <v>68.09660979392865</v>
      </c>
      <c r="L1848" s="277"/>
      <c r="M1848" s="283">
        <v>0</v>
      </c>
      <c r="N1848" s="36">
        <v>0</v>
      </c>
      <c r="O1848" s="218"/>
      <c r="P1848" s="277"/>
      <c r="Q1848" s="283">
        <f t="shared" si="159"/>
        <v>22565</v>
      </c>
      <c r="R1848" s="36">
        <f t="shared" si="159"/>
        <v>15366</v>
      </c>
      <c r="S1848" s="219">
        <f t="shared" si="158"/>
        <v>68.09660979392865</v>
      </c>
    </row>
    <row r="1849" spans="2:19" x14ac:dyDescent="0.2">
      <c r="B1849" s="78">
        <f t="shared" si="156"/>
        <v>82</v>
      </c>
      <c r="C1849" s="7"/>
      <c r="D1849" s="7"/>
      <c r="E1849" s="7"/>
      <c r="F1849" s="24" t="s">
        <v>85</v>
      </c>
      <c r="G1849" s="7">
        <v>630</v>
      </c>
      <c r="H1849" s="7" t="s">
        <v>133</v>
      </c>
      <c r="I1849" s="22">
        <f>SUM(I1850:I1853)</f>
        <v>21565</v>
      </c>
      <c r="J1849" s="22">
        <f>SUM(J1850:J1853)</f>
        <v>14744</v>
      </c>
      <c r="K1849" s="218">
        <f t="shared" si="157"/>
        <v>68.370044052863435</v>
      </c>
      <c r="L1849" s="278"/>
      <c r="M1849" s="284"/>
      <c r="N1849" s="22"/>
      <c r="O1849" s="218"/>
      <c r="P1849" s="278"/>
      <c r="Q1849" s="284">
        <f t="shared" si="159"/>
        <v>21565</v>
      </c>
      <c r="R1849" s="22">
        <f t="shared" si="159"/>
        <v>14744</v>
      </c>
      <c r="S1849" s="219">
        <f t="shared" si="158"/>
        <v>68.370044052863435</v>
      </c>
    </row>
    <row r="1850" spans="2:19" x14ac:dyDescent="0.2">
      <c r="B1850" s="78">
        <f t="shared" si="156"/>
        <v>83</v>
      </c>
      <c r="C1850" s="7"/>
      <c r="D1850" s="7"/>
      <c r="E1850" s="7"/>
      <c r="F1850" s="25" t="s">
        <v>85</v>
      </c>
      <c r="G1850" s="3">
        <v>632</v>
      </c>
      <c r="H1850" s="3" t="s">
        <v>146</v>
      </c>
      <c r="I1850" s="19">
        <f>16850-110</f>
        <v>16740</v>
      </c>
      <c r="J1850" s="19">
        <v>12839</v>
      </c>
      <c r="K1850" s="218">
        <f t="shared" si="157"/>
        <v>76.69653524492233</v>
      </c>
      <c r="L1850" s="279"/>
      <c r="M1850" s="284"/>
      <c r="N1850" s="22"/>
      <c r="O1850" s="218"/>
      <c r="P1850" s="278"/>
      <c r="Q1850" s="300">
        <f t="shared" si="159"/>
        <v>16740</v>
      </c>
      <c r="R1850" s="19">
        <f t="shared" si="159"/>
        <v>12839</v>
      </c>
      <c r="S1850" s="219">
        <f t="shared" si="158"/>
        <v>76.69653524492233</v>
      </c>
    </row>
    <row r="1851" spans="2:19" x14ac:dyDescent="0.2">
      <c r="B1851" s="78">
        <f t="shared" si="156"/>
        <v>84</v>
      </c>
      <c r="C1851" s="3"/>
      <c r="D1851" s="3"/>
      <c r="E1851" s="3"/>
      <c r="F1851" s="25" t="s">
        <v>85</v>
      </c>
      <c r="G1851" s="3">
        <v>633</v>
      </c>
      <c r="H1851" s="3" t="s">
        <v>137</v>
      </c>
      <c r="I1851" s="18">
        <f>1000+200-100</f>
        <v>1100</v>
      </c>
      <c r="J1851" s="18">
        <v>554</v>
      </c>
      <c r="K1851" s="218">
        <f t="shared" si="157"/>
        <v>50.363636363636367</v>
      </c>
      <c r="L1851" s="279"/>
      <c r="M1851" s="285"/>
      <c r="N1851" s="18"/>
      <c r="O1851" s="218"/>
      <c r="P1851" s="279"/>
      <c r="Q1851" s="285">
        <f t="shared" si="159"/>
        <v>1100</v>
      </c>
      <c r="R1851" s="18">
        <f t="shared" si="159"/>
        <v>554</v>
      </c>
      <c r="S1851" s="219">
        <f t="shared" si="158"/>
        <v>50.363636363636367</v>
      </c>
    </row>
    <row r="1852" spans="2:19" x14ac:dyDescent="0.2">
      <c r="B1852" s="78">
        <f t="shared" si="156"/>
        <v>85</v>
      </c>
      <c r="C1852" s="3"/>
      <c r="D1852" s="3"/>
      <c r="E1852" s="3"/>
      <c r="F1852" s="25" t="s">
        <v>85</v>
      </c>
      <c r="G1852" s="3">
        <v>635</v>
      </c>
      <c r="H1852" s="3" t="s">
        <v>145</v>
      </c>
      <c r="I1852" s="18">
        <f>1200+2100-200</f>
        <v>3100</v>
      </c>
      <c r="J1852" s="18">
        <v>1021</v>
      </c>
      <c r="K1852" s="218">
        <f t="shared" si="157"/>
        <v>32.935483870967744</v>
      </c>
      <c r="L1852" s="279"/>
      <c r="M1852" s="285"/>
      <c r="N1852" s="18"/>
      <c r="O1852" s="218"/>
      <c r="P1852" s="279"/>
      <c r="Q1852" s="285">
        <f t="shared" si="159"/>
        <v>3100</v>
      </c>
      <c r="R1852" s="18">
        <f t="shared" si="159"/>
        <v>1021</v>
      </c>
      <c r="S1852" s="219">
        <f t="shared" si="158"/>
        <v>32.935483870967744</v>
      </c>
    </row>
    <row r="1853" spans="2:19" x14ac:dyDescent="0.2">
      <c r="B1853" s="78">
        <f t="shared" si="156"/>
        <v>86</v>
      </c>
      <c r="C1853" s="3"/>
      <c r="D1853" s="3"/>
      <c r="E1853" s="3"/>
      <c r="F1853" s="25" t="s">
        <v>85</v>
      </c>
      <c r="G1853" s="3">
        <v>637</v>
      </c>
      <c r="H1853" s="3" t="s">
        <v>134</v>
      </c>
      <c r="I1853" s="18">
        <f>325+400-100</f>
        <v>625</v>
      </c>
      <c r="J1853" s="18">
        <v>330</v>
      </c>
      <c r="K1853" s="218">
        <f t="shared" si="157"/>
        <v>52.800000000000004</v>
      </c>
      <c r="L1853" s="279"/>
      <c r="M1853" s="285"/>
      <c r="N1853" s="18"/>
      <c r="O1853" s="218"/>
      <c r="P1853" s="279"/>
      <c r="Q1853" s="285">
        <f t="shared" si="159"/>
        <v>625</v>
      </c>
      <c r="R1853" s="18">
        <f t="shared" si="159"/>
        <v>330</v>
      </c>
      <c r="S1853" s="219">
        <f t="shared" si="158"/>
        <v>52.800000000000004</v>
      </c>
    </row>
    <row r="1854" spans="2:19" ht="15" x14ac:dyDescent="0.25">
      <c r="B1854" s="78">
        <f t="shared" si="156"/>
        <v>87</v>
      </c>
      <c r="C1854" s="10"/>
      <c r="D1854" s="10"/>
      <c r="E1854" s="10">
        <v>2</v>
      </c>
      <c r="F1854" s="27"/>
      <c r="G1854" s="10"/>
      <c r="H1854" s="10" t="s">
        <v>401</v>
      </c>
      <c r="I1854" s="37">
        <f>I1855</f>
        <v>1000</v>
      </c>
      <c r="J1854" s="37">
        <f>J1855</f>
        <v>622</v>
      </c>
      <c r="K1854" s="218">
        <f t="shared" si="157"/>
        <v>62.2</v>
      </c>
      <c r="L1854" s="295"/>
      <c r="M1854" s="299">
        <v>0</v>
      </c>
      <c r="N1854" s="37">
        <v>0</v>
      </c>
      <c r="O1854" s="218"/>
      <c r="P1854" s="295"/>
      <c r="Q1854" s="299">
        <f t="shared" si="159"/>
        <v>1000</v>
      </c>
      <c r="R1854" s="37">
        <f t="shared" si="159"/>
        <v>622</v>
      </c>
      <c r="S1854" s="219">
        <f t="shared" si="158"/>
        <v>62.2</v>
      </c>
    </row>
    <row r="1855" spans="2:19" x14ac:dyDescent="0.2">
      <c r="B1855" s="78">
        <f t="shared" si="156"/>
        <v>88</v>
      </c>
      <c r="C1855" s="7"/>
      <c r="D1855" s="7"/>
      <c r="E1855" s="7"/>
      <c r="F1855" s="24" t="s">
        <v>85</v>
      </c>
      <c r="G1855" s="7">
        <v>630</v>
      </c>
      <c r="H1855" s="7" t="s">
        <v>133</v>
      </c>
      <c r="I1855" s="22">
        <f>I1856</f>
        <v>1000</v>
      </c>
      <c r="J1855" s="22">
        <f>J1856</f>
        <v>622</v>
      </c>
      <c r="K1855" s="218">
        <f t="shared" si="157"/>
        <v>62.2</v>
      </c>
      <c r="L1855" s="278"/>
      <c r="M1855" s="284"/>
      <c r="N1855" s="22"/>
      <c r="O1855" s="218"/>
      <c r="P1855" s="278"/>
      <c r="Q1855" s="284">
        <f t="shared" si="159"/>
        <v>1000</v>
      </c>
      <c r="R1855" s="22">
        <f t="shared" si="159"/>
        <v>622</v>
      </c>
      <c r="S1855" s="219">
        <f t="shared" si="158"/>
        <v>62.2</v>
      </c>
    </row>
    <row r="1856" spans="2:19" x14ac:dyDescent="0.2">
      <c r="B1856" s="78">
        <f t="shared" si="156"/>
        <v>89</v>
      </c>
      <c r="C1856" s="3"/>
      <c r="D1856" s="3"/>
      <c r="E1856" s="3"/>
      <c r="F1856" s="25" t="s">
        <v>85</v>
      </c>
      <c r="G1856" s="3">
        <v>632</v>
      </c>
      <c r="H1856" s="3" t="s">
        <v>146</v>
      </c>
      <c r="I1856" s="18">
        <f>2150-1150</f>
        <v>1000</v>
      </c>
      <c r="J1856" s="18">
        <v>622</v>
      </c>
      <c r="K1856" s="218">
        <f t="shared" si="157"/>
        <v>62.2</v>
      </c>
      <c r="L1856" s="279"/>
      <c r="M1856" s="285"/>
      <c r="N1856" s="18"/>
      <c r="O1856" s="218"/>
      <c r="P1856" s="279"/>
      <c r="Q1856" s="285">
        <f t="shared" si="159"/>
        <v>1000</v>
      </c>
      <c r="R1856" s="18">
        <f t="shared" si="159"/>
        <v>622</v>
      </c>
      <c r="S1856" s="219">
        <f t="shared" si="158"/>
        <v>62.2</v>
      </c>
    </row>
    <row r="1857" spans="2:19" ht="15" x14ac:dyDescent="0.2">
      <c r="B1857" s="78">
        <f t="shared" si="156"/>
        <v>90</v>
      </c>
      <c r="C1857" s="430">
        <v>6</v>
      </c>
      <c r="D1857" s="505" t="s">
        <v>243</v>
      </c>
      <c r="E1857" s="494"/>
      <c r="F1857" s="494"/>
      <c r="G1857" s="494"/>
      <c r="H1857" s="495"/>
      <c r="I1857" s="35">
        <f>I1858+I1859+I1861+I1863</f>
        <v>1341154</v>
      </c>
      <c r="J1857" s="35">
        <f>J1858+J1859+J1861+J1863</f>
        <v>1332669</v>
      </c>
      <c r="K1857" s="218">
        <f t="shared" si="157"/>
        <v>99.367335891329418</v>
      </c>
      <c r="L1857" s="276"/>
      <c r="M1857" s="282">
        <f>M1863</f>
        <v>14500</v>
      </c>
      <c r="N1857" s="35">
        <f>N1863</f>
        <v>13617</v>
      </c>
      <c r="O1857" s="218">
        <f t="shared" ref="O1857:O1891" si="160">N1857/M1857*100</f>
        <v>93.910344827586215</v>
      </c>
      <c r="P1857" s="276"/>
      <c r="Q1857" s="282">
        <f t="shared" si="159"/>
        <v>1355654</v>
      </c>
      <c r="R1857" s="35">
        <f t="shared" si="159"/>
        <v>1346286</v>
      </c>
      <c r="S1857" s="219">
        <f t="shared" si="158"/>
        <v>99.308968217554039</v>
      </c>
    </row>
    <row r="1858" spans="2:19" x14ac:dyDescent="0.2">
      <c r="B1858" s="78">
        <f t="shared" si="156"/>
        <v>91</v>
      </c>
      <c r="C1858" s="7"/>
      <c r="D1858" s="7"/>
      <c r="E1858" s="7"/>
      <c r="F1858" s="24" t="s">
        <v>85</v>
      </c>
      <c r="G1858" s="7">
        <v>620</v>
      </c>
      <c r="H1858" s="7" t="s">
        <v>136</v>
      </c>
      <c r="I1858" s="22">
        <f>600+500+400</f>
        <v>1500</v>
      </c>
      <c r="J1858" s="22">
        <v>1173</v>
      </c>
      <c r="K1858" s="218">
        <f t="shared" si="157"/>
        <v>78.2</v>
      </c>
      <c r="L1858" s="278"/>
      <c r="M1858" s="284"/>
      <c r="N1858" s="22"/>
      <c r="O1858" s="218"/>
      <c r="P1858" s="278"/>
      <c r="Q1858" s="284">
        <f t="shared" si="159"/>
        <v>1500</v>
      </c>
      <c r="R1858" s="22">
        <f t="shared" si="159"/>
        <v>1173</v>
      </c>
      <c r="S1858" s="219">
        <f t="shared" si="158"/>
        <v>78.2</v>
      </c>
    </row>
    <row r="1859" spans="2:19" x14ac:dyDescent="0.2">
      <c r="B1859" s="78">
        <f t="shared" si="156"/>
        <v>92</v>
      </c>
      <c r="C1859" s="7"/>
      <c r="D1859" s="7"/>
      <c r="E1859" s="7"/>
      <c r="F1859" s="24" t="s">
        <v>85</v>
      </c>
      <c r="G1859" s="7">
        <v>630</v>
      </c>
      <c r="H1859" s="7" t="s">
        <v>133</v>
      </c>
      <c r="I1859" s="22">
        <f>I1860</f>
        <v>3000</v>
      </c>
      <c r="J1859" s="22">
        <f>J1860</f>
        <v>3000</v>
      </c>
      <c r="K1859" s="218">
        <f t="shared" si="157"/>
        <v>100</v>
      </c>
      <c r="L1859" s="278"/>
      <c r="M1859" s="284"/>
      <c r="N1859" s="22"/>
      <c r="O1859" s="218"/>
      <c r="P1859" s="278"/>
      <c r="Q1859" s="284">
        <f t="shared" si="159"/>
        <v>3000</v>
      </c>
      <c r="R1859" s="22">
        <f t="shared" si="159"/>
        <v>3000</v>
      </c>
      <c r="S1859" s="219">
        <f t="shared" si="158"/>
        <v>100</v>
      </c>
    </row>
    <row r="1860" spans="2:19" x14ac:dyDescent="0.2">
      <c r="B1860" s="78">
        <f t="shared" si="156"/>
        <v>93</v>
      </c>
      <c r="C1860" s="3"/>
      <c r="D1860" s="3"/>
      <c r="E1860" s="3"/>
      <c r="F1860" s="25" t="s">
        <v>85</v>
      </c>
      <c r="G1860" s="3">
        <v>637</v>
      </c>
      <c r="H1860" s="3" t="s">
        <v>134</v>
      </c>
      <c r="I1860" s="18">
        <v>3000</v>
      </c>
      <c r="J1860" s="18">
        <v>3000</v>
      </c>
      <c r="K1860" s="218">
        <f t="shared" si="157"/>
        <v>100</v>
      </c>
      <c r="L1860" s="279"/>
      <c r="M1860" s="285"/>
      <c r="N1860" s="18"/>
      <c r="O1860" s="218"/>
      <c r="P1860" s="279"/>
      <c r="Q1860" s="285">
        <f t="shared" si="159"/>
        <v>3000</v>
      </c>
      <c r="R1860" s="18">
        <f t="shared" si="159"/>
        <v>3000</v>
      </c>
      <c r="S1860" s="219">
        <f t="shared" si="158"/>
        <v>100</v>
      </c>
    </row>
    <row r="1861" spans="2:19" x14ac:dyDescent="0.2">
      <c r="B1861" s="78">
        <f t="shared" si="156"/>
        <v>94</v>
      </c>
      <c r="C1861" s="7"/>
      <c r="D1861" s="7"/>
      <c r="E1861" s="7"/>
      <c r="F1861" s="24" t="s">
        <v>85</v>
      </c>
      <c r="G1861" s="7">
        <v>640</v>
      </c>
      <c r="H1861" s="7" t="s">
        <v>141</v>
      </c>
      <c r="I1861" s="22">
        <f>I1862</f>
        <v>21000</v>
      </c>
      <c r="J1861" s="22">
        <f>J1862</f>
        <v>20280</v>
      </c>
      <c r="K1861" s="218">
        <f t="shared" si="157"/>
        <v>96.571428571428569</v>
      </c>
      <c r="L1861" s="278"/>
      <c r="M1861" s="284"/>
      <c r="N1861" s="22"/>
      <c r="O1861" s="218"/>
      <c r="P1861" s="278"/>
      <c r="Q1861" s="284">
        <f t="shared" si="159"/>
        <v>21000</v>
      </c>
      <c r="R1861" s="22">
        <f t="shared" si="159"/>
        <v>20280</v>
      </c>
      <c r="S1861" s="219">
        <f t="shared" si="158"/>
        <v>96.571428571428569</v>
      </c>
    </row>
    <row r="1862" spans="2:19" x14ac:dyDescent="0.2">
      <c r="B1862" s="78">
        <f t="shared" si="156"/>
        <v>95</v>
      </c>
      <c r="C1862" s="3"/>
      <c r="D1862" s="3"/>
      <c r="E1862" s="3"/>
      <c r="F1862" s="25" t="s">
        <v>85</v>
      </c>
      <c r="G1862" s="3">
        <v>642</v>
      </c>
      <c r="H1862" s="3" t="s">
        <v>142</v>
      </c>
      <c r="I1862" s="18">
        <f>16500+3500+1000</f>
        <v>21000</v>
      </c>
      <c r="J1862" s="18">
        <v>20280</v>
      </c>
      <c r="K1862" s="218">
        <f t="shared" si="157"/>
        <v>96.571428571428569</v>
      </c>
      <c r="L1862" s="279"/>
      <c r="M1862" s="285"/>
      <c r="N1862" s="18"/>
      <c r="O1862" s="218"/>
      <c r="P1862" s="279"/>
      <c r="Q1862" s="285">
        <f t="shared" si="159"/>
        <v>21000</v>
      </c>
      <c r="R1862" s="18">
        <f t="shared" si="159"/>
        <v>20280</v>
      </c>
      <c r="S1862" s="219">
        <f t="shared" si="158"/>
        <v>96.571428571428569</v>
      </c>
    </row>
    <row r="1863" spans="2:19" ht="15" x14ac:dyDescent="0.25">
      <c r="B1863" s="78">
        <f t="shared" si="156"/>
        <v>96</v>
      </c>
      <c r="C1863" s="10"/>
      <c r="D1863" s="10"/>
      <c r="E1863" s="10">
        <v>5</v>
      </c>
      <c r="F1863" s="27"/>
      <c r="G1863" s="10"/>
      <c r="H1863" s="10" t="s">
        <v>116</v>
      </c>
      <c r="I1863" s="37">
        <f>I1864+I1865+I1866+I1873+I1874</f>
        <v>1315654</v>
      </c>
      <c r="J1863" s="37">
        <f>J1864+J1865+J1866+J1873+J1874</f>
        <v>1308216</v>
      </c>
      <c r="K1863" s="218">
        <f t="shared" si="157"/>
        <v>99.434653791954418</v>
      </c>
      <c r="L1863" s="295"/>
      <c r="M1863" s="299">
        <f>M1874</f>
        <v>14500</v>
      </c>
      <c r="N1863" s="37">
        <f>N1874</f>
        <v>13617</v>
      </c>
      <c r="O1863" s="218">
        <f t="shared" si="160"/>
        <v>93.910344827586215</v>
      </c>
      <c r="P1863" s="295"/>
      <c r="Q1863" s="299">
        <f t="shared" si="159"/>
        <v>1330154</v>
      </c>
      <c r="R1863" s="37">
        <f t="shared" si="159"/>
        <v>1321833</v>
      </c>
      <c r="S1863" s="219">
        <f t="shared" si="158"/>
        <v>99.37443333629038</v>
      </c>
    </row>
    <row r="1864" spans="2:19" x14ac:dyDescent="0.2">
      <c r="B1864" s="78">
        <f t="shared" si="156"/>
        <v>97</v>
      </c>
      <c r="C1864" s="7"/>
      <c r="D1864" s="7"/>
      <c r="E1864" s="7"/>
      <c r="F1864" s="24" t="s">
        <v>84</v>
      </c>
      <c r="G1864" s="7">
        <v>610</v>
      </c>
      <c r="H1864" s="7" t="s">
        <v>143</v>
      </c>
      <c r="I1864" s="22">
        <v>621145</v>
      </c>
      <c r="J1864" s="22">
        <v>621055</v>
      </c>
      <c r="K1864" s="218">
        <f t="shared" si="157"/>
        <v>99.985510629563151</v>
      </c>
      <c r="L1864" s="278"/>
      <c r="M1864" s="284"/>
      <c r="N1864" s="22"/>
      <c r="O1864" s="218"/>
      <c r="P1864" s="278"/>
      <c r="Q1864" s="284">
        <f t="shared" si="159"/>
        <v>621145</v>
      </c>
      <c r="R1864" s="22">
        <f t="shared" si="159"/>
        <v>621055</v>
      </c>
      <c r="S1864" s="219">
        <f t="shared" si="158"/>
        <v>99.985510629563151</v>
      </c>
    </row>
    <row r="1865" spans="2:19" x14ac:dyDescent="0.2">
      <c r="B1865" s="78">
        <f t="shared" si="156"/>
        <v>98</v>
      </c>
      <c r="C1865" s="7"/>
      <c r="D1865" s="7"/>
      <c r="E1865" s="7"/>
      <c r="F1865" s="24" t="s">
        <v>84</v>
      </c>
      <c r="G1865" s="7">
        <v>620</v>
      </c>
      <c r="H1865" s="7" t="s">
        <v>136</v>
      </c>
      <c r="I1865" s="22">
        <v>222288</v>
      </c>
      <c r="J1865" s="22">
        <v>222288</v>
      </c>
      <c r="K1865" s="218">
        <f t="shared" si="157"/>
        <v>100</v>
      </c>
      <c r="L1865" s="278"/>
      <c r="M1865" s="284"/>
      <c r="N1865" s="22"/>
      <c r="O1865" s="218"/>
      <c r="P1865" s="278"/>
      <c r="Q1865" s="284">
        <f t="shared" si="159"/>
        <v>222288</v>
      </c>
      <c r="R1865" s="22">
        <f t="shared" si="159"/>
        <v>222288</v>
      </c>
      <c r="S1865" s="219">
        <f t="shared" si="158"/>
        <v>100</v>
      </c>
    </row>
    <row r="1866" spans="2:19" x14ac:dyDescent="0.2">
      <c r="B1866" s="78">
        <f t="shared" si="156"/>
        <v>99</v>
      </c>
      <c r="C1866" s="7"/>
      <c r="D1866" s="7"/>
      <c r="E1866" s="7"/>
      <c r="F1866" s="24" t="s">
        <v>84</v>
      </c>
      <c r="G1866" s="7">
        <v>630</v>
      </c>
      <c r="H1866" s="7" t="s">
        <v>133</v>
      </c>
      <c r="I1866" s="22">
        <f>I1872+I1871+I1870+I1869+I1868+I1867</f>
        <v>461538</v>
      </c>
      <c r="J1866" s="22">
        <f>J1872+J1871+J1870+J1869+J1868+J1867</f>
        <v>455754</v>
      </c>
      <c r="K1866" s="218">
        <f t="shared" si="157"/>
        <v>98.746798746798746</v>
      </c>
      <c r="L1866" s="278"/>
      <c r="M1866" s="284"/>
      <c r="N1866" s="22"/>
      <c r="O1866" s="218"/>
      <c r="P1866" s="278"/>
      <c r="Q1866" s="284">
        <f t="shared" si="159"/>
        <v>461538</v>
      </c>
      <c r="R1866" s="22">
        <f t="shared" si="159"/>
        <v>455754</v>
      </c>
      <c r="S1866" s="219">
        <f t="shared" si="158"/>
        <v>98.746798746798746</v>
      </c>
    </row>
    <row r="1867" spans="2:19" x14ac:dyDescent="0.2">
      <c r="B1867" s="78">
        <f t="shared" si="156"/>
        <v>100</v>
      </c>
      <c r="C1867" s="3"/>
      <c r="D1867" s="3"/>
      <c r="E1867" s="3"/>
      <c r="F1867" s="25" t="s">
        <v>84</v>
      </c>
      <c r="G1867" s="3">
        <v>631</v>
      </c>
      <c r="H1867" s="3" t="s">
        <v>139</v>
      </c>
      <c r="I1867" s="18">
        <v>200</v>
      </c>
      <c r="J1867" s="18">
        <v>31</v>
      </c>
      <c r="K1867" s="218">
        <f t="shared" si="157"/>
        <v>15.5</v>
      </c>
      <c r="L1867" s="279"/>
      <c r="M1867" s="285"/>
      <c r="N1867" s="18"/>
      <c r="O1867" s="218"/>
      <c r="P1867" s="279"/>
      <c r="Q1867" s="285">
        <f t="shared" si="159"/>
        <v>200</v>
      </c>
      <c r="R1867" s="18">
        <f t="shared" si="159"/>
        <v>31</v>
      </c>
      <c r="S1867" s="219">
        <f t="shared" si="158"/>
        <v>15.5</v>
      </c>
    </row>
    <row r="1868" spans="2:19" x14ac:dyDescent="0.2">
      <c r="B1868" s="78">
        <f t="shared" si="156"/>
        <v>101</v>
      </c>
      <c r="C1868" s="3"/>
      <c r="D1868" s="3"/>
      <c r="E1868" s="3"/>
      <c r="F1868" s="25" t="s">
        <v>84</v>
      </c>
      <c r="G1868" s="3">
        <v>632</v>
      </c>
      <c r="H1868" s="3" t="s">
        <v>146</v>
      </c>
      <c r="I1868" s="18">
        <f>93750-6000</f>
        <v>87750</v>
      </c>
      <c r="J1868" s="18">
        <v>84928</v>
      </c>
      <c r="K1868" s="218">
        <f t="shared" si="157"/>
        <v>96.784045584045586</v>
      </c>
      <c r="L1868" s="279"/>
      <c r="M1868" s="285"/>
      <c r="N1868" s="18"/>
      <c r="O1868" s="218"/>
      <c r="P1868" s="279"/>
      <c r="Q1868" s="285">
        <f t="shared" si="159"/>
        <v>87750</v>
      </c>
      <c r="R1868" s="18">
        <f t="shared" si="159"/>
        <v>84928</v>
      </c>
      <c r="S1868" s="219">
        <f t="shared" si="158"/>
        <v>96.784045584045586</v>
      </c>
    </row>
    <row r="1869" spans="2:19" x14ac:dyDescent="0.2">
      <c r="B1869" s="78">
        <f t="shared" si="156"/>
        <v>102</v>
      </c>
      <c r="C1869" s="3"/>
      <c r="D1869" s="3"/>
      <c r="E1869" s="3"/>
      <c r="F1869" s="25" t="s">
        <v>84</v>
      </c>
      <c r="G1869" s="3">
        <v>633</v>
      </c>
      <c r="H1869" s="3" t="s">
        <v>137</v>
      </c>
      <c r="I1869" s="18">
        <f>28450+1530+5500</f>
        <v>35480</v>
      </c>
      <c r="J1869" s="18">
        <v>35340</v>
      </c>
      <c r="K1869" s="218">
        <f t="shared" si="157"/>
        <v>99.6054114994363</v>
      </c>
      <c r="L1869" s="279"/>
      <c r="M1869" s="285"/>
      <c r="N1869" s="18"/>
      <c r="O1869" s="218"/>
      <c r="P1869" s="279"/>
      <c r="Q1869" s="285">
        <f t="shared" si="159"/>
        <v>35480</v>
      </c>
      <c r="R1869" s="18">
        <f t="shared" si="159"/>
        <v>35340</v>
      </c>
      <c r="S1869" s="219">
        <f t="shared" si="158"/>
        <v>99.6054114994363</v>
      </c>
    </row>
    <row r="1870" spans="2:19" x14ac:dyDescent="0.2">
      <c r="B1870" s="78">
        <f t="shared" si="156"/>
        <v>103</v>
      </c>
      <c r="C1870" s="3"/>
      <c r="D1870" s="3"/>
      <c r="E1870" s="3"/>
      <c r="F1870" s="25" t="s">
        <v>84</v>
      </c>
      <c r="G1870" s="3">
        <v>634</v>
      </c>
      <c r="H1870" s="3" t="s">
        <v>144</v>
      </c>
      <c r="I1870" s="18">
        <v>1900</v>
      </c>
      <c r="J1870" s="18">
        <v>1335</v>
      </c>
      <c r="K1870" s="218">
        <f t="shared" si="157"/>
        <v>70.263157894736835</v>
      </c>
      <c r="L1870" s="279"/>
      <c r="M1870" s="285"/>
      <c r="N1870" s="18"/>
      <c r="O1870" s="218"/>
      <c r="P1870" s="279"/>
      <c r="Q1870" s="285">
        <f t="shared" si="159"/>
        <v>1900</v>
      </c>
      <c r="R1870" s="18">
        <f t="shared" si="159"/>
        <v>1335</v>
      </c>
      <c r="S1870" s="219">
        <f t="shared" si="158"/>
        <v>70.263157894736835</v>
      </c>
    </row>
    <row r="1871" spans="2:19" x14ac:dyDescent="0.2">
      <c r="B1871" s="78">
        <f t="shared" si="156"/>
        <v>104</v>
      </c>
      <c r="C1871" s="3"/>
      <c r="D1871" s="3"/>
      <c r="E1871" s="3"/>
      <c r="F1871" s="25" t="s">
        <v>84</v>
      </c>
      <c r="G1871" s="3">
        <v>635</v>
      </c>
      <c r="H1871" s="3" t="s">
        <v>145</v>
      </c>
      <c r="I1871" s="18">
        <f>72750-17960+37000</f>
        <v>91790</v>
      </c>
      <c r="J1871" s="18">
        <v>91726</v>
      </c>
      <c r="K1871" s="218">
        <f t="shared" si="157"/>
        <v>99.930275629153499</v>
      </c>
      <c r="L1871" s="279"/>
      <c r="M1871" s="285"/>
      <c r="N1871" s="18"/>
      <c r="O1871" s="218"/>
      <c r="P1871" s="279"/>
      <c r="Q1871" s="285">
        <f t="shared" ref="Q1871:R1907" si="161">I1871+M1871</f>
        <v>91790</v>
      </c>
      <c r="R1871" s="18">
        <f t="shared" si="161"/>
        <v>91726</v>
      </c>
      <c r="S1871" s="219">
        <f t="shared" si="158"/>
        <v>99.930275629153499</v>
      </c>
    </row>
    <row r="1872" spans="2:19" x14ac:dyDescent="0.2">
      <c r="B1872" s="78">
        <f t="shared" si="156"/>
        <v>105</v>
      </c>
      <c r="C1872" s="3"/>
      <c r="D1872" s="3"/>
      <c r="E1872" s="3"/>
      <c r="F1872" s="25" t="s">
        <v>84</v>
      </c>
      <c r="G1872" s="3">
        <v>637</v>
      </c>
      <c r="H1872" s="3" t="s">
        <v>134</v>
      </c>
      <c r="I1872" s="18">
        <f>273918+10000-40000+500</f>
        <v>244418</v>
      </c>
      <c r="J1872" s="18">
        <v>242394</v>
      </c>
      <c r="K1872" s="218">
        <f t="shared" si="157"/>
        <v>99.171910415763165</v>
      </c>
      <c r="L1872" s="279"/>
      <c r="M1872" s="285"/>
      <c r="N1872" s="18"/>
      <c r="O1872" s="218"/>
      <c r="P1872" s="279"/>
      <c r="Q1872" s="285">
        <f t="shared" si="161"/>
        <v>244418</v>
      </c>
      <c r="R1872" s="18">
        <f t="shared" si="161"/>
        <v>242394</v>
      </c>
      <c r="S1872" s="219">
        <f t="shared" si="158"/>
        <v>99.171910415763165</v>
      </c>
    </row>
    <row r="1873" spans="2:19" x14ac:dyDescent="0.2">
      <c r="B1873" s="78">
        <f t="shared" si="156"/>
        <v>106</v>
      </c>
      <c r="C1873" s="7"/>
      <c r="D1873" s="7"/>
      <c r="E1873" s="7"/>
      <c r="F1873" s="24" t="s">
        <v>84</v>
      </c>
      <c r="G1873" s="7">
        <v>640</v>
      </c>
      <c r="H1873" s="7" t="s">
        <v>141</v>
      </c>
      <c r="I1873" s="22">
        <f>1036+8347+300+1000</f>
        <v>10683</v>
      </c>
      <c r="J1873" s="22">
        <v>9119</v>
      </c>
      <c r="K1873" s="218">
        <f t="shared" si="157"/>
        <v>85.359917626134987</v>
      </c>
      <c r="L1873" s="278"/>
      <c r="M1873" s="284"/>
      <c r="N1873" s="22"/>
      <c r="O1873" s="218"/>
      <c r="P1873" s="278"/>
      <c r="Q1873" s="284">
        <f t="shared" si="161"/>
        <v>10683</v>
      </c>
      <c r="R1873" s="22">
        <f t="shared" si="161"/>
        <v>9119</v>
      </c>
      <c r="S1873" s="219">
        <f t="shared" si="158"/>
        <v>85.359917626134987</v>
      </c>
    </row>
    <row r="1874" spans="2:19" x14ac:dyDescent="0.2">
      <c r="B1874" s="78">
        <f t="shared" si="156"/>
        <v>107</v>
      </c>
      <c r="C1874" s="7"/>
      <c r="D1874" s="7"/>
      <c r="E1874" s="7"/>
      <c r="F1874" s="24" t="s">
        <v>84</v>
      </c>
      <c r="G1874" s="7">
        <v>710</v>
      </c>
      <c r="H1874" s="7" t="s">
        <v>188</v>
      </c>
      <c r="I1874" s="22"/>
      <c r="J1874" s="22"/>
      <c r="K1874" s="218"/>
      <c r="L1874" s="278"/>
      <c r="M1874" s="284">
        <f>M1877+M1875</f>
        <v>14500</v>
      </c>
      <c r="N1874" s="22">
        <f>N1877+N1875</f>
        <v>13617</v>
      </c>
      <c r="O1874" s="218">
        <f t="shared" si="160"/>
        <v>93.910344827586215</v>
      </c>
      <c r="P1874" s="278"/>
      <c r="Q1874" s="284">
        <f t="shared" si="161"/>
        <v>14500</v>
      </c>
      <c r="R1874" s="22">
        <f t="shared" si="161"/>
        <v>13617</v>
      </c>
      <c r="S1874" s="219">
        <f t="shared" si="158"/>
        <v>93.910344827586215</v>
      </c>
    </row>
    <row r="1875" spans="2:19" x14ac:dyDescent="0.2">
      <c r="B1875" s="78">
        <f t="shared" si="156"/>
        <v>108</v>
      </c>
      <c r="C1875" s="7"/>
      <c r="D1875" s="7"/>
      <c r="E1875" s="7"/>
      <c r="F1875" s="24"/>
      <c r="G1875" s="50">
        <v>713</v>
      </c>
      <c r="H1875" s="3" t="s">
        <v>234</v>
      </c>
      <c r="I1875" s="19"/>
      <c r="J1875" s="19"/>
      <c r="K1875" s="218"/>
      <c r="L1875" s="279"/>
      <c r="M1875" s="285">
        <f>M1876</f>
        <v>6000</v>
      </c>
      <c r="N1875" s="18">
        <f>N1876</f>
        <v>5566</v>
      </c>
      <c r="O1875" s="218">
        <f t="shared" si="160"/>
        <v>92.766666666666666</v>
      </c>
      <c r="P1875" s="279"/>
      <c r="Q1875" s="285">
        <f t="shared" si="161"/>
        <v>6000</v>
      </c>
      <c r="R1875" s="18">
        <f t="shared" si="161"/>
        <v>5566</v>
      </c>
      <c r="S1875" s="219">
        <f t="shared" si="158"/>
        <v>92.766666666666666</v>
      </c>
    </row>
    <row r="1876" spans="2:19" x14ac:dyDescent="0.2">
      <c r="B1876" s="78">
        <f t="shared" si="156"/>
        <v>109</v>
      </c>
      <c r="C1876" s="7"/>
      <c r="D1876" s="7"/>
      <c r="E1876" s="7"/>
      <c r="F1876" s="24"/>
      <c r="G1876" s="50"/>
      <c r="H1876" s="13" t="s">
        <v>583</v>
      </c>
      <c r="I1876" s="19"/>
      <c r="J1876" s="19"/>
      <c r="K1876" s="218"/>
      <c r="L1876" s="279"/>
      <c r="M1876" s="286">
        <f>5500+500</f>
        <v>6000</v>
      </c>
      <c r="N1876" s="21">
        <v>5566</v>
      </c>
      <c r="O1876" s="218">
        <f t="shared" si="160"/>
        <v>92.766666666666666</v>
      </c>
      <c r="P1876" s="280"/>
      <c r="Q1876" s="286">
        <f t="shared" si="161"/>
        <v>6000</v>
      </c>
      <c r="R1876" s="20">
        <f t="shared" si="161"/>
        <v>5566</v>
      </c>
      <c r="S1876" s="219">
        <f t="shared" si="158"/>
        <v>92.766666666666666</v>
      </c>
    </row>
    <row r="1877" spans="2:19" x14ac:dyDescent="0.2">
      <c r="B1877" s="78">
        <f t="shared" si="156"/>
        <v>110</v>
      </c>
      <c r="C1877" s="7"/>
      <c r="D1877" s="7"/>
      <c r="E1877" s="7"/>
      <c r="F1877" s="25" t="s">
        <v>84</v>
      </c>
      <c r="G1877" s="3">
        <v>716</v>
      </c>
      <c r="H1877" s="3" t="s">
        <v>231</v>
      </c>
      <c r="I1877" s="18"/>
      <c r="J1877" s="18"/>
      <c r="K1877" s="218"/>
      <c r="L1877" s="279"/>
      <c r="M1877" s="285">
        <f>M1878</f>
        <v>8500</v>
      </c>
      <c r="N1877" s="18">
        <f>N1878</f>
        <v>8051</v>
      </c>
      <c r="O1877" s="218">
        <f t="shared" si="160"/>
        <v>94.71764705882353</v>
      </c>
      <c r="P1877" s="279"/>
      <c r="Q1877" s="285">
        <f t="shared" si="161"/>
        <v>8500</v>
      </c>
      <c r="R1877" s="18">
        <f t="shared" si="161"/>
        <v>8051</v>
      </c>
      <c r="S1877" s="219">
        <f t="shared" si="158"/>
        <v>94.71764705882353</v>
      </c>
    </row>
    <row r="1878" spans="2:19" x14ac:dyDescent="0.2">
      <c r="B1878" s="78">
        <f t="shared" si="156"/>
        <v>111</v>
      </c>
      <c r="C1878" s="7"/>
      <c r="D1878" s="7"/>
      <c r="E1878" s="7"/>
      <c r="F1878" s="30"/>
      <c r="G1878" s="4"/>
      <c r="H1878" s="13" t="s">
        <v>497</v>
      </c>
      <c r="I1878" s="20"/>
      <c r="J1878" s="20"/>
      <c r="K1878" s="218"/>
      <c r="L1878" s="280"/>
      <c r="M1878" s="286">
        <f>7000+1500</f>
        <v>8500</v>
      </c>
      <c r="N1878" s="20">
        <v>8051</v>
      </c>
      <c r="O1878" s="218">
        <f t="shared" si="160"/>
        <v>94.71764705882353</v>
      </c>
      <c r="P1878" s="280"/>
      <c r="Q1878" s="286">
        <f t="shared" si="161"/>
        <v>8500</v>
      </c>
      <c r="R1878" s="20">
        <f t="shared" si="161"/>
        <v>8051</v>
      </c>
      <c r="S1878" s="219">
        <f t="shared" si="158"/>
        <v>94.71764705882353</v>
      </c>
    </row>
    <row r="1879" spans="2:19" ht="15" x14ac:dyDescent="0.2">
      <c r="B1879" s="78">
        <f t="shared" si="156"/>
        <v>112</v>
      </c>
      <c r="C1879" s="430">
        <v>7</v>
      </c>
      <c r="D1879" s="505" t="s">
        <v>57</v>
      </c>
      <c r="E1879" s="494"/>
      <c r="F1879" s="494"/>
      <c r="G1879" s="494"/>
      <c r="H1879" s="495"/>
      <c r="I1879" s="35">
        <f>I1880</f>
        <v>716596</v>
      </c>
      <c r="J1879" s="35">
        <f>J1880</f>
        <v>705330</v>
      </c>
      <c r="K1879" s="218">
        <f t="shared" si="157"/>
        <v>98.427844978202501</v>
      </c>
      <c r="L1879" s="276"/>
      <c r="M1879" s="282">
        <f>M1880</f>
        <v>16520</v>
      </c>
      <c r="N1879" s="35">
        <f>N1880</f>
        <v>16519</v>
      </c>
      <c r="O1879" s="218">
        <f t="shared" si="160"/>
        <v>99.993946731234857</v>
      </c>
      <c r="P1879" s="276"/>
      <c r="Q1879" s="282">
        <f t="shared" si="161"/>
        <v>733116</v>
      </c>
      <c r="R1879" s="35">
        <f t="shared" si="161"/>
        <v>721849</v>
      </c>
      <c r="S1879" s="219">
        <f t="shared" si="158"/>
        <v>98.463135438320819</v>
      </c>
    </row>
    <row r="1880" spans="2:19" ht="15" x14ac:dyDescent="0.25">
      <c r="B1880" s="78">
        <f t="shared" si="156"/>
        <v>113</v>
      </c>
      <c r="C1880" s="10"/>
      <c r="D1880" s="10"/>
      <c r="E1880" s="10">
        <v>5</v>
      </c>
      <c r="F1880" s="27"/>
      <c r="G1880" s="10"/>
      <c r="H1880" s="10" t="s">
        <v>116</v>
      </c>
      <c r="I1880" s="37">
        <f>I1881+I1882+I1883+I1888</f>
        <v>716596</v>
      </c>
      <c r="J1880" s="37">
        <f>J1881+J1882+J1883+J1888</f>
        <v>705330</v>
      </c>
      <c r="K1880" s="218">
        <f t="shared" si="157"/>
        <v>98.427844978202501</v>
      </c>
      <c r="L1880" s="295"/>
      <c r="M1880" s="299">
        <f>M1889</f>
        <v>16520</v>
      </c>
      <c r="N1880" s="37">
        <f>N1889</f>
        <v>16519</v>
      </c>
      <c r="O1880" s="218">
        <f t="shared" si="160"/>
        <v>99.993946731234857</v>
      </c>
      <c r="P1880" s="295"/>
      <c r="Q1880" s="299">
        <f t="shared" si="161"/>
        <v>733116</v>
      </c>
      <c r="R1880" s="37">
        <f t="shared" si="161"/>
        <v>721849</v>
      </c>
      <c r="S1880" s="219">
        <f t="shared" si="158"/>
        <v>98.463135438320819</v>
      </c>
    </row>
    <row r="1881" spans="2:19" x14ac:dyDescent="0.2">
      <c r="B1881" s="78">
        <f t="shared" si="156"/>
        <v>114</v>
      </c>
      <c r="C1881" s="7"/>
      <c r="D1881" s="7"/>
      <c r="E1881" s="7"/>
      <c r="F1881" s="24" t="s">
        <v>84</v>
      </c>
      <c r="G1881" s="7">
        <v>610</v>
      </c>
      <c r="H1881" s="7" t="s">
        <v>143</v>
      </c>
      <c r="I1881" s="22">
        <v>486013</v>
      </c>
      <c r="J1881" s="22">
        <v>485875</v>
      </c>
      <c r="K1881" s="218">
        <f t="shared" si="157"/>
        <v>99.971605697789983</v>
      </c>
      <c r="L1881" s="278"/>
      <c r="M1881" s="284"/>
      <c r="N1881" s="22"/>
      <c r="O1881" s="218"/>
      <c r="P1881" s="278"/>
      <c r="Q1881" s="284">
        <f t="shared" si="161"/>
        <v>486013</v>
      </c>
      <c r="R1881" s="22">
        <f t="shared" si="161"/>
        <v>485875</v>
      </c>
      <c r="S1881" s="219">
        <f t="shared" si="158"/>
        <v>99.971605697789983</v>
      </c>
    </row>
    <row r="1882" spans="2:19" x14ac:dyDescent="0.2">
      <c r="B1882" s="78">
        <f t="shared" si="156"/>
        <v>115</v>
      </c>
      <c r="C1882" s="7"/>
      <c r="D1882" s="7"/>
      <c r="E1882" s="7"/>
      <c r="F1882" s="24" t="s">
        <v>84</v>
      </c>
      <c r="G1882" s="7">
        <v>620</v>
      </c>
      <c r="H1882" s="7" t="s">
        <v>136</v>
      </c>
      <c r="I1882" s="22">
        <v>170372</v>
      </c>
      <c r="J1882" s="22">
        <v>168009</v>
      </c>
      <c r="K1882" s="218">
        <f t="shared" si="157"/>
        <v>98.61303500575211</v>
      </c>
      <c r="L1882" s="278"/>
      <c r="M1882" s="284"/>
      <c r="N1882" s="22"/>
      <c r="O1882" s="218"/>
      <c r="P1882" s="278"/>
      <c r="Q1882" s="284">
        <f t="shared" si="161"/>
        <v>170372</v>
      </c>
      <c r="R1882" s="22">
        <f t="shared" si="161"/>
        <v>168009</v>
      </c>
      <c r="S1882" s="219">
        <f t="shared" si="158"/>
        <v>98.61303500575211</v>
      </c>
    </row>
    <row r="1883" spans="2:19" x14ac:dyDescent="0.2">
      <c r="B1883" s="78">
        <f t="shared" si="156"/>
        <v>116</v>
      </c>
      <c r="C1883" s="7"/>
      <c r="D1883" s="7"/>
      <c r="E1883" s="7"/>
      <c r="F1883" s="24" t="s">
        <v>84</v>
      </c>
      <c r="G1883" s="7">
        <v>630</v>
      </c>
      <c r="H1883" s="7" t="s">
        <v>133</v>
      </c>
      <c r="I1883" s="22">
        <f>SUM(I1884:I1887)</f>
        <v>57401</v>
      </c>
      <c r="J1883" s="22">
        <f>SUM(J1884:J1887)</f>
        <v>49611</v>
      </c>
      <c r="K1883" s="218">
        <f t="shared" si="157"/>
        <v>86.428807860490224</v>
      </c>
      <c r="L1883" s="278"/>
      <c r="M1883" s="284"/>
      <c r="N1883" s="22"/>
      <c r="O1883" s="218"/>
      <c r="P1883" s="278"/>
      <c r="Q1883" s="284">
        <f t="shared" si="161"/>
        <v>57401</v>
      </c>
      <c r="R1883" s="22">
        <f t="shared" si="161"/>
        <v>49611</v>
      </c>
      <c r="S1883" s="219">
        <f t="shared" si="158"/>
        <v>86.428807860490224</v>
      </c>
    </row>
    <row r="1884" spans="2:19" x14ac:dyDescent="0.2">
      <c r="B1884" s="78">
        <f t="shared" si="156"/>
        <v>117</v>
      </c>
      <c r="C1884" s="3"/>
      <c r="D1884" s="3"/>
      <c r="E1884" s="3"/>
      <c r="F1884" s="25" t="s">
        <v>84</v>
      </c>
      <c r="G1884" s="3">
        <v>632</v>
      </c>
      <c r="H1884" s="3" t="s">
        <v>146</v>
      </c>
      <c r="I1884" s="18">
        <v>720</v>
      </c>
      <c r="J1884" s="18">
        <v>600</v>
      </c>
      <c r="K1884" s="218">
        <f t="shared" si="157"/>
        <v>83.333333333333343</v>
      </c>
      <c r="L1884" s="279"/>
      <c r="M1884" s="285"/>
      <c r="N1884" s="18"/>
      <c r="O1884" s="218"/>
      <c r="P1884" s="279"/>
      <c r="Q1884" s="285">
        <f t="shared" si="161"/>
        <v>720</v>
      </c>
      <c r="R1884" s="18">
        <f t="shared" si="161"/>
        <v>600</v>
      </c>
      <c r="S1884" s="219">
        <f t="shared" si="158"/>
        <v>83.333333333333343</v>
      </c>
    </row>
    <row r="1885" spans="2:19" x14ac:dyDescent="0.2">
      <c r="B1885" s="78">
        <f t="shared" si="156"/>
        <v>118</v>
      </c>
      <c r="C1885" s="3"/>
      <c r="D1885" s="3"/>
      <c r="E1885" s="3"/>
      <c r="F1885" s="25" t="s">
        <v>84</v>
      </c>
      <c r="G1885" s="3">
        <v>633</v>
      </c>
      <c r="H1885" s="3" t="s">
        <v>137</v>
      </c>
      <c r="I1885" s="18">
        <v>2700</v>
      </c>
      <c r="J1885" s="18">
        <v>1655</v>
      </c>
      <c r="K1885" s="218">
        <f t="shared" si="157"/>
        <v>61.296296296296291</v>
      </c>
      <c r="L1885" s="279"/>
      <c r="M1885" s="285"/>
      <c r="N1885" s="18"/>
      <c r="O1885" s="218"/>
      <c r="P1885" s="279"/>
      <c r="Q1885" s="285">
        <f t="shared" si="161"/>
        <v>2700</v>
      </c>
      <c r="R1885" s="18">
        <f t="shared" si="161"/>
        <v>1655</v>
      </c>
      <c r="S1885" s="219">
        <f t="shared" si="158"/>
        <v>61.296296296296291</v>
      </c>
    </row>
    <row r="1886" spans="2:19" x14ac:dyDescent="0.2">
      <c r="B1886" s="78">
        <f t="shared" si="156"/>
        <v>119</v>
      </c>
      <c r="C1886" s="3"/>
      <c r="D1886" s="3"/>
      <c r="E1886" s="3"/>
      <c r="F1886" s="25" t="s">
        <v>84</v>
      </c>
      <c r="G1886" s="3">
        <v>634</v>
      </c>
      <c r="H1886" s="3" t="s">
        <v>144</v>
      </c>
      <c r="I1886" s="18">
        <f>4901+1100</f>
        <v>6001</v>
      </c>
      <c r="J1886" s="18">
        <v>6001</v>
      </c>
      <c r="K1886" s="218">
        <f t="shared" si="157"/>
        <v>100</v>
      </c>
      <c r="L1886" s="279"/>
      <c r="M1886" s="285"/>
      <c r="N1886" s="18"/>
      <c r="O1886" s="218"/>
      <c r="P1886" s="279"/>
      <c r="Q1886" s="285">
        <f t="shared" si="161"/>
        <v>6001</v>
      </c>
      <c r="R1886" s="18">
        <f t="shared" si="161"/>
        <v>6001</v>
      </c>
      <c r="S1886" s="219">
        <f t="shared" si="158"/>
        <v>100</v>
      </c>
    </row>
    <row r="1887" spans="2:19" x14ac:dyDescent="0.2">
      <c r="B1887" s="78">
        <f t="shared" si="156"/>
        <v>120</v>
      </c>
      <c r="C1887" s="3"/>
      <c r="D1887" s="3"/>
      <c r="E1887" s="3"/>
      <c r="F1887" s="25" t="s">
        <v>84</v>
      </c>
      <c r="G1887" s="3">
        <v>637</v>
      </c>
      <c r="H1887" s="3" t="s">
        <v>134</v>
      </c>
      <c r="I1887" s="18">
        <f>49080-1100</f>
        <v>47980</v>
      </c>
      <c r="J1887" s="18">
        <v>41355</v>
      </c>
      <c r="K1887" s="218">
        <f t="shared" si="157"/>
        <v>86.192163401417261</v>
      </c>
      <c r="L1887" s="279"/>
      <c r="M1887" s="285"/>
      <c r="N1887" s="18"/>
      <c r="O1887" s="218"/>
      <c r="P1887" s="279"/>
      <c r="Q1887" s="285">
        <f t="shared" si="161"/>
        <v>47980</v>
      </c>
      <c r="R1887" s="18">
        <f t="shared" si="161"/>
        <v>41355</v>
      </c>
      <c r="S1887" s="219">
        <f t="shared" si="158"/>
        <v>86.192163401417261</v>
      </c>
    </row>
    <row r="1888" spans="2:19" x14ac:dyDescent="0.2">
      <c r="B1888" s="78">
        <f t="shared" si="156"/>
        <v>121</v>
      </c>
      <c r="C1888" s="7"/>
      <c r="D1888" s="7"/>
      <c r="E1888" s="7"/>
      <c r="F1888" s="24" t="s">
        <v>84</v>
      </c>
      <c r="G1888" s="7">
        <v>640</v>
      </c>
      <c r="H1888" s="7" t="s">
        <v>141</v>
      </c>
      <c r="I1888" s="22">
        <f>1170+350+500+900-110</f>
        <v>2810</v>
      </c>
      <c r="J1888" s="22">
        <v>1835</v>
      </c>
      <c r="K1888" s="218">
        <f t="shared" si="157"/>
        <v>65.30249110320284</v>
      </c>
      <c r="L1888" s="278"/>
      <c r="M1888" s="284"/>
      <c r="N1888" s="22"/>
      <c r="O1888" s="218"/>
      <c r="P1888" s="278"/>
      <c r="Q1888" s="284">
        <f t="shared" si="161"/>
        <v>2810</v>
      </c>
      <c r="R1888" s="22">
        <f t="shared" si="161"/>
        <v>1835</v>
      </c>
      <c r="S1888" s="219">
        <f t="shared" si="158"/>
        <v>65.30249110320284</v>
      </c>
    </row>
    <row r="1889" spans="2:19" x14ac:dyDescent="0.2">
      <c r="B1889" s="78">
        <f t="shared" si="156"/>
        <v>122</v>
      </c>
      <c r="C1889" s="7"/>
      <c r="D1889" s="7"/>
      <c r="E1889" s="7"/>
      <c r="F1889" s="24" t="s">
        <v>84</v>
      </c>
      <c r="G1889" s="7">
        <v>710</v>
      </c>
      <c r="H1889" s="7" t="s">
        <v>188</v>
      </c>
      <c r="I1889" s="22"/>
      <c r="J1889" s="22"/>
      <c r="K1889" s="218"/>
      <c r="L1889" s="278"/>
      <c r="M1889" s="284">
        <f>M1890</f>
        <v>16520</v>
      </c>
      <c r="N1889" s="22">
        <f>N1890</f>
        <v>16519</v>
      </c>
      <c r="O1889" s="218">
        <f t="shared" si="160"/>
        <v>99.993946731234857</v>
      </c>
      <c r="P1889" s="278"/>
      <c r="Q1889" s="284">
        <f t="shared" si="161"/>
        <v>16520</v>
      </c>
      <c r="R1889" s="22">
        <f t="shared" si="161"/>
        <v>16519</v>
      </c>
      <c r="S1889" s="219">
        <f t="shared" si="158"/>
        <v>99.993946731234857</v>
      </c>
    </row>
    <row r="1890" spans="2:19" x14ac:dyDescent="0.2">
      <c r="B1890" s="78">
        <f t="shared" si="156"/>
        <v>123</v>
      </c>
      <c r="C1890" s="7"/>
      <c r="D1890" s="7"/>
      <c r="E1890" s="7"/>
      <c r="F1890" s="25" t="s">
        <v>84</v>
      </c>
      <c r="G1890" s="3">
        <v>714</v>
      </c>
      <c r="H1890" s="3" t="s">
        <v>189</v>
      </c>
      <c r="I1890" s="22"/>
      <c r="J1890" s="22"/>
      <c r="K1890" s="218"/>
      <c r="L1890" s="278"/>
      <c r="M1890" s="285">
        <f>M1891</f>
        <v>16520</v>
      </c>
      <c r="N1890" s="18">
        <f>N1891</f>
        <v>16519</v>
      </c>
      <c r="O1890" s="218">
        <f t="shared" si="160"/>
        <v>99.993946731234857</v>
      </c>
      <c r="P1890" s="279"/>
      <c r="Q1890" s="285">
        <f t="shared" si="161"/>
        <v>16520</v>
      </c>
      <c r="R1890" s="18">
        <f t="shared" si="161"/>
        <v>16519</v>
      </c>
      <c r="S1890" s="219">
        <f t="shared" si="158"/>
        <v>99.993946731234857</v>
      </c>
    </row>
    <row r="1891" spans="2:19" x14ac:dyDescent="0.2">
      <c r="B1891" s="78">
        <f t="shared" si="156"/>
        <v>124</v>
      </c>
      <c r="C1891" s="7"/>
      <c r="D1891" s="192"/>
      <c r="E1891" s="192"/>
      <c r="F1891" s="180"/>
      <c r="G1891" s="129"/>
      <c r="H1891" s="129" t="s">
        <v>584</v>
      </c>
      <c r="I1891" s="22"/>
      <c r="J1891" s="22"/>
      <c r="K1891" s="218"/>
      <c r="L1891" s="278"/>
      <c r="M1891" s="286">
        <v>16520</v>
      </c>
      <c r="N1891" s="20">
        <v>16519</v>
      </c>
      <c r="O1891" s="218">
        <f t="shared" si="160"/>
        <v>99.993946731234857</v>
      </c>
      <c r="P1891" s="280"/>
      <c r="Q1891" s="286">
        <f t="shared" si="161"/>
        <v>16520</v>
      </c>
      <c r="R1891" s="20">
        <f t="shared" si="161"/>
        <v>16519</v>
      </c>
      <c r="S1891" s="219">
        <f t="shared" si="158"/>
        <v>99.993946731234857</v>
      </c>
    </row>
    <row r="1892" spans="2:19" ht="15" x14ac:dyDescent="0.2">
      <c r="B1892" s="78">
        <f t="shared" si="156"/>
        <v>125</v>
      </c>
      <c r="C1892" s="430">
        <v>8</v>
      </c>
      <c r="D1892" s="505" t="s">
        <v>209</v>
      </c>
      <c r="E1892" s="494"/>
      <c r="F1892" s="494"/>
      <c r="G1892" s="494"/>
      <c r="H1892" s="495"/>
      <c r="I1892" s="35">
        <f>I1893</f>
        <v>4100</v>
      </c>
      <c r="J1892" s="35">
        <f>J1893</f>
        <v>3078</v>
      </c>
      <c r="K1892" s="218">
        <f t="shared" si="157"/>
        <v>75.073170731707322</v>
      </c>
      <c r="L1892" s="276"/>
      <c r="M1892" s="282">
        <v>0</v>
      </c>
      <c r="N1892" s="35">
        <v>0</v>
      </c>
      <c r="O1892" s="218"/>
      <c r="P1892" s="276"/>
      <c r="Q1892" s="282">
        <f t="shared" si="161"/>
        <v>4100</v>
      </c>
      <c r="R1892" s="35">
        <f t="shared" si="161"/>
        <v>3078</v>
      </c>
      <c r="S1892" s="219">
        <f t="shared" si="158"/>
        <v>75.073170731707322</v>
      </c>
    </row>
    <row r="1893" spans="2:19" x14ac:dyDescent="0.2">
      <c r="B1893" s="78">
        <f t="shared" si="156"/>
        <v>126</v>
      </c>
      <c r="C1893" s="7"/>
      <c r="D1893" s="7"/>
      <c r="E1893" s="7"/>
      <c r="F1893" s="24" t="s">
        <v>156</v>
      </c>
      <c r="G1893" s="7">
        <v>630</v>
      </c>
      <c r="H1893" s="7" t="s">
        <v>133</v>
      </c>
      <c r="I1893" s="22">
        <f>I1894</f>
        <v>4100</v>
      </c>
      <c r="J1893" s="22">
        <f>J1894</f>
        <v>3078</v>
      </c>
      <c r="K1893" s="218">
        <f t="shared" si="157"/>
        <v>75.073170731707322</v>
      </c>
      <c r="L1893" s="278"/>
      <c r="M1893" s="284"/>
      <c r="N1893" s="22"/>
      <c r="O1893" s="218"/>
      <c r="P1893" s="278"/>
      <c r="Q1893" s="284">
        <f t="shared" si="161"/>
        <v>4100</v>
      </c>
      <c r="R1893" s="22">
        <f t="shared" si="161"/>
        <v>3078</v>
      </c>
      <c r="S1893" s="219">
        <f t="shared" si="158"/>
        <v>75.073170731707322</v>
      </c>
    </row>
    <row r="1894" spans="2:19" x14ac:dyDescent="0.2">
      <c r="B1894" s="78">
        <f t="shared" si="156"/>
        <v>127</v>
      </c>
      <c r="C1894" s="3"/>
      <c r="D1894" s="3"/>
      <c r="E1894" s="3"/>
      <c r="F1894" s="25" t="s">
        <v>156</v>
      </c>
      <c r="G1894" s="3">
        <v>637</v>
      </c>
      <c r="H1894" s="3" t="s">
        <v>134</v>
      </c>
      <c r="I1894" s="18">
        <f>4000-500-1000+1000+600</f>
        <v>4100</v>
      </c>
      <c r="J1894" s="18">
        <v>3078</v>
      </c>
      <c r="K1894" s="218">
        <f t="shared" si="157"/>
        <v>75.073170731707322</v>
      </c>
      <c r="L1894" s="279"/>
      <c r="M1894" s="285"/>
      <c r="N1894" s="18"/>
      <c r="O1894" s="218"/>
      <c r="P1894" s="279"/>
      <c r="Q1894" s="285">
        <f t="shared" si="161"/>
        <v>4100</v>
      </c>
      <c r="R1894" s="18">
        <f t="shared" si="161"/>
        <v>3078</v>
      </c>
      <c r="S1894" s="219">
        <f t="shared" si="158"/>
        <v>75.073170731707322</v>
      </c>
    </row>
    <row r="1895" spans="2:19" ht="15" x14ac:dyDescent="0.2">
      <c r="B1895" s="78">
        <f t="shared" si="156"/>
        <v>128</v>
      </c>
      <c r="C1895" s="430">
        <v>9</v>
      </c>
      <c r="D1895" s="505" t="s">
        <v>186</v>
      </c>
      <c r="E1895" s="494"/>
      <c r="F1895" s="494"/>
      <c r="G1895" s="494"/>
      <c r="H1895" s="495"/>
      <c r="I1895" s="35">
        <f>I1896+I1898</f>
        <v>17461</v>
      </c>
      <c r="J1895" s="35">
        <f>J1896+J1898</f>
        <v>7245</v>
      </c>
      <c r="K1895" s="218">
        <f t="shared" si="157"/>
        <v>41.492468930759976</v>
      </c>
      <c r="L1895" s="276"/>
      <c r="M1895" s="282">
        <v>0</v>
      </c>
      <c r="N1895" s="35">
        <v>0</v>
      </c>
      <c r="O1895" s="218"/>
      <c r="P1895" s="276"/>
      <c r="Q1895" s="282">
        <f t="shared" si="161"/>
        <v>17461</v>
      </c>
      <c r="R1895" s="35">
        <f t="shared" si="161"/>
        <v>7245</v>
      </c>
      <c r="S1895" s="219">
        <f t="shared" si="158"/>
        <v>41.492468930759976</v>
      </c>
    </row>
    <row r="1896" spans="2:19" x14ac:dyDescent="0.2">
      <c r="B1896" s="78">
        <f t="shared" ref="B1896:B1920" si="162">B1895+1</f>
        <v>129</v>
      </c>
      <c r="C1896" s="7"/>
      <c r="D1896" s="7"/>
      <c r="E1896" s="7"/>
      <c r="F1896" s="24" t="s">
        <v>83</v>
      </c>
      <c r="G1896" s="7">
        <v>630</v>
      </c>
      <c r="H1896" s="7" t="s">
        <v>133</v>
      </c>
      <c r="I1896" s="22">
        <f>I1897</f>
        <v>14141</v>
      </c>
      <c r="J1896" s="22">
        <f>J1897</f>
        <v>6564</v>
      </c>
      <c r="K1896" s="218">
        <f t="shared" ref="K1896:K1920" si="163">J1896/I1896*100</f>
        <v>46.418216533484198</v>
      </c>
      <c r="L1896" s="278"/>
      <c r="M1896" s="284"/>
      <c r="N1896" s="22"/>
      <c r="O1896" s="218"/>
      <c r="P1896" s="278"/>
      <c r="Q1896" s="284">
        <f t="shared" si="161"/>
        <v>14141</v>
      </c>
      <c r="R1896" s="22">
        <f t="shared" si="161"/>
        <v>6564</v>
      </c>
      <c r="S1896" s="219">
        <f t="shared" ref="S1896:S1920" si="164">R1896/Q1896*100</f>
        <v>46.418216533484198</v>
      </c>
    </row>
    <row r="1897" spans="2:19" x14ac:dyDescent="0.2">
      <c r="B1897" s="78">
        <f t="shared" si="162"/>
        <v>130</v>
      </c>
      <c r="C1897" s="3"/>
      <c r="D1897" s="3"/>
      <c r="E1897" s="3"/>
      <c r="F1897" s="25" t="s">
        <v>83</v>
      </c>
      <c r="G1897" s="3">
        <v>637</v>
      </c>
      <c r="H1897" s="3" t="s">
        <v>134</v>
      </c>
      <c r="I1897" s="18">
        <f>14000+141</f>
        <v>14141</v>
      </c>
      <c r="J1897" s="18">
        <v>6564</v>
      </c>
      <c r="K1897" s="218">
        <f t="shared" si="163"/>
        <v>46.418216533484198</v>
      </c>
      <c r="L1897" s="279"/>
      <c r="M1897" s="285"/>
      <c r="N1897" s="18"/>
      <c r="O1897" s="218"/>
      <c r="P1897" s="279"/>
      <c r="Q1897" s="285">
        <f t="shared" si="161"/>
        <v>14141</v>
      </c>
      <c r="R1897" s="18">
        <f t="shared" si="161"/>
        <v>6564</v>
      </c>
      <c r="S1897" s="219">
        <f t="shared" si="164"/>
        <v>46.418216533484198</v>
      </c>
    </row>
    <row r="1898" spans="2:19" x14ac:dyDescent="0.2">
      <c r="B1898" s="78">
        <f t="shared" si="162"/>
        <v>131</v>
      </c>
      <c r="C1898" s="7"/>
      <c r="D1898" s="7"/>
      <c r="E1898" s="7"/>
      <c r="F1898" s="24" t="s">
        <v>83</v>
      </c>
      <c r="G1898" s="7">
        <v>640</v>
      </c>
      <c r="H1898" s="7" t="s">
        <v>141</v>
      </c>
      <c r="I1898" s="22">
        <f>I1899</f>
        <v>3320</v>
      </c>
      <c r="J1898" s="22">
        <f>J1899</f>
        <v>681</v>
      </c>
      <c r="K1898" s="218">
        <f t="shared" si="163"/>
        <v>20.512048192771086</v>
      </c>
      <c r="L1898" s="278"/>
      <c r="M1898" s="284"/>
      <c r="N1898" s="22"/>
      <c r="O1898" s="218"/>
      <c r="P1898" s="278"/>
      <c r="Q1898" s="284">
        <f t="shared" si="161"/>
        <v>3320</v>
      </c>
      <c r="R1898" s="22">
        <f t="shared" si="161"/>
        <v>681</v>
      </c>
      <c r="S1898" s="219">
        <f t="shared" si="164"/>
        <v>20.512048192771086</v>
      </c>
    </row>
    <row r="1899" spans="2:19" x14ac:dyDescent="0.2">
      <c r="B1899" s="78">
        <f t="shared" si="162"/>
        <v>132</v>
      </c>
      <c r="C1899" s="3"/>
      <c r="D1899" s="3"/>
      <c r="E1899" s="3"/>
      <c r="F1899" s="25" t="s">
        <v>83</v>
      </c>
      <c r="G1899" s="3">
        <v>642</v>
      </c>
      <c r="H1899" s="3" t="s">
        <v>142</v>
      </c>
      <c r="I1899" s="18">
        <f>5000-680-1000</f>
        <v>3320</v>
      </c>
      <c r="J1899" s="18">
        <v>681</v>
      </c>
      <c r="K1899" s="218">
        <f t="shared" si="163"/>
        <v>20.512048192771086</v>
      </c>
      <c r="L1899" s="279"/>
      <c r="M1899" s="285"/>
      <c r="N1899" s="18"/>
      <c r="O1899" s="218"/>
      <c r="P1899" s="279"/>
      <c r="Q1899" s="285">
        <f t="shared" si="161"/>
        <v>3320</v>
      </c>
      <c r="R1899" s="18">
        <f t="shared" si="161"/>
        <v>681</v>
      </c>
      <c r="S1899" s="219">
        <f t="shared" si="164"/>
        <v>20.512048192771086</v>
      </c>
    </row>
    <row r="1900" spans="2:19" ht="15" x14ac:dyDescent="0.2">
      <c r="B1900" s="78">
        <f t="shared" si="162"/>
        <v>133</v>
      </c>
      <c r="C1900" s="430">
        <v>10</v>
      </c>
      <c r="D1900" s="505" t="s">
        <v>187</v>
      </c>
      <c r="E1900" s="494"/>
      <c r="F1900" s="494"/>
      <c r="G1900" s="494"/>
      <c r="H1900" s="495"/>
      <c r="I1900" s="35">
        <f>I1901</f>
        <v>14417</v>
      </c>
      <c r="J1900" s="35">
        <f>J1901</f>
        <v>14250</v>
      </c>
      <c r="K1900" s="218">
        <f t="shared" si="163"/>
        <v>98.841645279877923</v>
      </c>
      <c r="L1900" s="276"/>
      <c r="M1900" s="282">
        <v>0</v>
      </c>
      <c r="N1900" s="35">
        <v>0</v>
      </c>
      <c r="O1900" s="218"/>
      <c r="P1900" s="276"/>
      <c r="Q1900" s="282">
        <f t="shared" si="161"/>
        <v>14417</v>
      </c>
      <c r="R1900" s="35">
        <f t="shared" si="161"/>
        <v>14250</v>
      </c>
      <c r="S1900" s="219">
        <f t="shared" si="164"/>
        <v>98.841645279877923</v>
      </c>
    </row>
    <row r="1901" spans="2:19" ht="15" x14ac:dyDescent="0.25">
      <c r="B1901" s="78">
        <f t="shared" si="162"/>
        <v>134</v>
      </c>
      <c r="C1901" s="10"/>
      <c r="D1901" s="10"/>
      <c r="E1901" s="10">
        <v>5</v>
      </c>
      <c r="F1901" s="27"/>
      <c r="G1901" s="10"/>
      <c r="H1901" s="10" t="s">
        <v>116</v>
      </c>
      <c r="I1901" s="37">
        <f>I1902+I1903+I1904</f>
        <v>14417</v>
      </c>
      <c r="J1901" s="37">
        <f>J1902+J1903+J1904</f>
        <v>14250</v>
      </c>
      <c r="K1901" s="218">
        <f t="shared" si="163"/>
        <v>98.841645279877923</v>
      </c>
      <c r="L1901" s="295"/>
      <c r="M1901" s="299"/>
      <c r="N1901" s="37"/>
      <c r="O1901" s="218"/>
      <c r="P1901" s="295"/>
      <c r="Q1901" s="299">
        <f t="shared" si="161"/>
        <v>14417</v>
      </c>
      <c r="R1901" s="37">
        <f t="shared" si="161"/>
        <v>14250</v>
      </c>
      <c r="S1901" s="219">
        <f t="shared" si="164"/>
        <v>98.841645279877923</v>
      </c>
    </row>
    <row r="1902" spans="2:19" x14ac:dyDescent="0.2">
      <c r="B1902" s="78">
        <f t="shared" si="162"/>
        <v>135</v>
      </c>
      <c r="C1902" s="7"/>
      <c r="D1902" s="7"/>
      <c r="E1902" s="7"/>
      <c r="F1902" s="24" t="s">
        <v>84</v>
      </c>
      <c r="G1902" s="7">
        <v>610</v>
      </c>
      <c r="H1902" s="7" t="s">
        <v>143</v>
      </c>
      <c r="I1902" s="22">
        <v>8208</v>
      </c>
      <c r="J1902" s="22">
        <v>8208</v>
      </c>
      <c r="K1902" s="218">
        <f t="shared" si="163"/>
        <v>100</v>
      </c>
      <c r="L1902" s="278"/>
      <c r="M1902" s="284"/>
      <c r="N1902" s="22"/>
      <c r="O1902" s="218"/>
      <c r="P1902" s="278"/>
      <c r="Q1902" s="284">
        <f t="shared" si="161"/>
        <v>8208</v>
      </c>
      <c r="R1902" s="22">
        <f t="shared" si="161"/>
        <v>8208</v>
      </c>
      <c r="S1902" s="219">
        <f t="shared" si="164"/>
        <v>100</v>
      </c>
    </row>
    <row r="1903" spans="2:19" x14ac:dyDescent="0.2">
      <c r="B1903" s="78">
        <f t="shared" si="162"/>
        <v>136</v>
      </c>
      <c r="C1903" s="7"/>
      <c r="D1903" s="7"/>
      <c r="E1903" s="7"/>
      <c r="F1903" s="24" t="s">
        <v>84</v>
      </c>
      <c r="G1903" s="7">
        <v>620</v>
      </c>
      <c r="H1903" s="7" t="s">
        <v>136</v>
      </c>
      <c r="I1903" s="22">
        <v>2873</v>
      </c>
      <c r="J1903" s="22">
        <v>2873</v>
      </c>
      <c r="K1903" s="218">
        <f t="shared" si="163"/>
        <v>100</v>
      </c>
      <c r="L1903" s="278"/>
      <c r="M1903" s="284"/>
      <c r="N1903" s="22"/>
      <c r="O1903" s="218"/>
      <c r="P1903" s="278"/>
      <c r="Q1903" s="284">
        <f t="shared" si="161"/>
        <v>2873</v>
      </c>
      <c r="R1903" s="22">
        <f t="shared" si="161"/>
        <v>2873</v>
      </c>
      <c r="S1903" s="219">
        <f t="shared" si="164"/>
        <v>100</v>
      </c>
    </row>
    <row r="1904" spans="2:19" x14ac:dyDescent="0.2">
      <c r="B1904" s="78">
        <f t="shared" si="162"/>
        <v>137</v>
      </c>
      <c r="C1904" s="7"/>
      <c r="D1904" s="7"/>
      <c r="E1904" s="7"/>
      <c r="F1904" s="24" t="s">
        <v>84</v>
      </c>
      <c r="G1904" s="7">
        <v>630</v>
      </c>
      <c r="H1904" s="7" t="s">
        <v>133</v>
      </c>
      <c r="I1904" s="22">
        <f>I1908+I1907+I1906+I1905</f>
        <v>3336</v>
      </c>
      <c r="J1904" s="22">
        <f>J1908+J1907+J1906+J1905</f>
        <v>3169</v>
      </c>
      <c r="K1904" s="218">
        <f t="shared" si="163"/>
        <v>94.994004796163068</v>
      </c>
      <c r="L1904" s="278"/>
      <c r="M1904" s="284"/>
      <c r="N1904" s="22"/>
      <c r="O1904" s="218"/>
      <c r="P1904" s="278"/>
      <c r="Q1904" s="284">
        <f t="shared" si="161"/>
        <v>3336</v>
      </c>
      <c r="R1904" s="22">
        <f t="shared" si="161"/>
        <v>3169</v>
      </c>
      <c r="S1904" s="219">
        <f t="shared" si="164"/>
        <v>94.994004796163068</v>
      </c>
    </row>
    <row r="1905" spans="2:19" x14ac:dyDescent="0.2">
      <c r="B1905" s="78">
        <f t="shared" si="162"/>
        <v>138</v>
      </c>
      <c r="C1905" s="3"/>
      <c r="D1905" s="3"/>
      <c r="E1905" s="3"/>
      <c r="F1905" s="25" t="s">
        <v>84</v>
      </c>
      <c r="G1905" s="3">
        <v>632</v>
      </c>
      <c r="H1905" s="3" t="s">
        <v>146</v>
      </c>
      <c r="I1905" s="18">
        <v>70</v>
      </c>
      <c r="J1905" s="18">
        <v>6</v>
      </c>
      <c r="K1905" s="218">
        <f t="shared" si="163"/>
        <v>8.5714285714285712</v>
      </c>
      <c r="L1905" s="279"/>
      <c r="M1905" s="285"/>
      <c r="N1905" s="18"/>
      <c r="O1905" s="218"/>
      <c r="P1905" s="279"/>
      <c r="Q1905" s="285">
        <f t="shared" si="161"/>
        <v>70</v>
      </c>
      <c r="R1905" s="18">
        <f t="shared" si="161"/>
        <v>6</v>
      </c>
      <c r="S1905" s="219">
        <f t="shared" si="164"/>
        <v>8.5714285714285712</v>
      </c>
    </row>
    <row r="1906" spans="2:19" x14ac:dyDescent="0.2">
      <c r="B1906" s="78">
        <f t="shared" si="162"/>
        <v>139</v>
      </c>
      <c r="C1906" s="3"/>
      <c r="D1906" s="3"/>
      <c r="E1906" s="3"/>
      <c r="F1906" s="25" t="s">
        <v>84</v>
      </c>
      <c r="G1906" s="3">
        <v>633</v>
      </c>
      <c r="H1906" s="3" t="s">
        <v>137</v>
      </c>
      <c r="I1906" s="18">
        <v>60</v>
      </c>
      <c r="J1906" s="18">
        <v>7</v>
      </c>
      <c r="K1906" s="218">
        <f t="shared" si="163"/>
        <v>11.666666666666666</v>
      </c>
      <c r="L1906" s="279"/>
      <c r="M1906" s="285"/>
      <c r="N1906" s="18"/>
      <c r="O1906" s="218"/>
      <c r="P1906" s="279"/>
      <c r="Q1906" s="285">
        <f t="shared" si="161"/>
        <v>60</v>
      </c>
      <c r="R1906" s="18">
        <f t="shared" si="161"/>
        <v>7</v>
      </c>
      <c r="S1906" s="219">
        <f t="shared" si="164"/>
        <v>11.666666666666666</v>
      </c>
    </row>
    <row r="1907" spans="2:19" x14ac:dyDescent="0.2">
      <c r="B1907" s="78">
        <f t="shared" si="162"/>
        <v>140</v>
      </c>
      <c r="C1907" s="3"/>
      <c r="D1907" s="3"/>
      <c r="E1907" s="3"/>
      <c r="F1907" s="25" t="s">
        <v>84</v>
      </c>
      <c r="G1907" s="3">
        <v>634</v>
      </c>
      <c r="H1907" s="3" t="s">
        <v>144</v>
      </c>
      <c r="I1907" s="18">
        <v>2400</v>
      </c>
      <c r="J1907" s="18">
        <v>2398</v>
      </c>
      <c r="K1907" s="218">
        <f t="shared" si="163"/>
        <v>99.916666666666671</v>
      </c>
      <c r="L1907" s="279"/>
      <c r="M1907" s="285"/>
      <c r="N1907" s="18"/>
      <c r="O1907" s="218"/>
      <c r="P1907" s="279"/>
      <c r="Q1907" s="285">
        <f t="shared" si="161"/>
        <v>2400</v>
      </c>
      <c r="R1907" s="18">
        <f t="shared" si="161"/>
        <v>2398</v>
      </c>
      <c r="S1907" s="219">
        <f t="shared" si="164"/>
        <v>99.916666666666671</v>
      </c>
    </row>
    <row r="1908" spans="2:19" x14ac:dyDescent="0.2">
      <c r="B1908" s="78">
        <f t="shared" si="162"/>
        <v>141</v>
      </c>
      <c r="C1908" s="3"/>
      <c r="D1908" s="3"/>
      <c r="E1908" s="3"/>
      <c r="F1908" s="25" t="s">
        <v>84</v>
      </c>
      <c r="G1908" s="3">
        <v>637</v>
      </c>
      <c r="H1908" s="3" t="s">
        <v>134</v>
      </c>
      <c r="I1908" s="18">
        <v>806</v>
      </c>
      <c r="J1908" s="18">
        <v>758</v>
      </c>
      <c r="K1908" s="218">
        <f t="shared" si="163"/>
        <v>94.044665012406952</v>
      </c>
      <c r="L1908" s="279"/>
      <c r="M1908" s="285"/>
      <c r="N1908" s="18"/>
      <c r="O1908" s="218"/>
      <c r="P1908" s="279"/>
      <c r="Q1908" s="285">
        <f t="shared" ref="Q1908:R1920" si="165">I1908+M1908</f>
        <v>806</v>
      </c>
      <c r="R1908" s="18">
        <f t="shared" si="165"/>
        <v>758</v>
      </c>
      <c r="S1908" s="219">
        <f t="shared" si="164"/>
        <v>94.044665012406952</v>
      </c>
    </row>
    <row r="1909" spans="2:19" ht="15" x14ac:dyDescent="0.2">
      <c r="B1909" s="78">
        <f t="shared" si="162"/>
        <v>142</v>
      </c>
      <c r="C1909" s="430">
        <v>11</v>
      </c>
      <c r="D1909" s="505" t="s">
        <v>79</v>
      </c>
      <c r="E1909" s="494"/>
      <c r="F1909" s="494"/>
      <c r="G1909" s="494"/>
      <c r="H1909" s="495"/>
      <c r="I1909" s="35">
        <f>I1910</f>
        <v>162661</v>
      </c>
      <c r="J1909" s="35">
        <f>J1910</f>
        <v>161075</v>
      </c>
      <c r="K1909" s="218">
        <f t="shared" si="163"/>
        <v>99.024966033652817</v>
      </c>
      <c r="L1909" s="276"/>
      <c r="M1909" s="282">
        <v>0</v>
      </c>
      <c r="N1909" s="35">
        <v>0</v>
      </c>
      <c r="O1909" s="218"/>
      <c r="P1909" s="276"/>
      <c r="Q1909" s="282">
        <f t="shared" si="165"/>
        <v>162661</v>
      </c>
      <c r="R1909" s="35">
        <f t="shared" si="165"/>
        <v>161075</v>
      </c>
      <c r="S1909" s="219">
        <f t="shared" si="164"/>
        <v>99.024966033652817</v>
      </c>
    </row>
    <row r="1910" spans="2:19" ht="15" x14ac:dyDescent="0.25">
      <c r="B1910" s="78">
        <f t="shared" si="162"/>
        <v>143</v>
      </c>
      <c r="C1910" s="10"/>
      <c r="D1910" s="10"/>
      <c r="E1910" s="10">
        <v>5</v>
      </c>
      <c r="F1910" s="27"/>
      <c r="G1910" s="10"/>
      <c r="H1910" s="10" t="s">
        <v>116</v>
      </c>
      <c r="I1910" s="37">
        <f>I1911+I1912+I1913+I1920</f>
        <v>162661</v>
      </c>
      <c r="J1910" s="37">
        <f>J1911+J1912+J1913+J1920</f>
        <v>161075</v>
      </c>
      <c r="K1910" s="218">
        <f t="shared" si="163"/>
        <v>99.024966033652817</v>
      </c>
      <c r="L1910" s="295"/>
      <c r="M1910" s="299"/>
      <c r="N1910" s="37"/>
      <c r="O1910" s="218"/>
      <c r="P1910" s="295"/>
      <c r="Q1910" s="299">
        <f t="shared" si="165"/>
        <v>162661</v>
      </c>
      <c r="R1910" s="37">
        <f t="shared" si="165"/>
        <v>161075</v>
      </c>
      <c r="S1910" s="219">
        <f t="shared" si="164"/>
        <v>99.024966033652817</v>
      </c>
    </row>
    <row r="1911" spans="2:19" x14ac:dyDescent="0.2">
      <c r="B1911" s="78">
        <f t="shared" si="162"/>
        <v>144</v>
      </c>
      <c r="C1911" s="7"/>
      <c r="D1911" s="7"/>
      <c r="E1911" s="7"/>
      <c r="F1911" s="24" t="s">
        <v>68</v>
      </c>
      <c r="G1911" s="7">
        <v>610</v>
      </c>
      <c r="H1911" s="7" t="s">
        <v>143</v>
      </c>
      <c r="I1911" s="22">
        <v>93673</v>
      </c>
      <c r="J1911" s="22">
        <v>93673</v>
      </c>
      <c r="K1911" s="218">
        <f t="shared" si="163"/>
        <v>100</v>
      </c>
      <c r="L1911" s="278"/>
      <c r="M1911" s="284"/>
      <c r="N1911" s="22"/>
      <c r="O1911" s="218"/>
      <c r="P1911" s="278"/>
      <c r="Q1911" s="284">
        <f t="shared" si="165"/>
        <v>93673</v>
      </c>
      <c r="R1911" s="22">
        <f t="shared" si="165"/>
        <v>93673</v>
      </c>
      <c r="S1911" s="219">
        <f t="shared" si="164"/>
        <v>100</v>
      </c>
    </row>
    <row r="1912" spans="2:19" x14ac:dyDescent="0.2">
      <c r="B1912" s="78">
        <f t="shared" si="162"/>
        <v>145</v>
      </c>
      <c r="C1912" s="7"/>
      <c r="D1912" s="7"/>
      <c r="E1912" s="7"/>
      <c r="F1912" s="24" t="s">
        <v>68</v>
      </c>
      <c r="G1912" s="7">
        <v>620</v>
      </c>
      <c r="H1912" s="7" t="s">
        <v>136</v>
      </c>
      <c r="I1912" s="22">
        <v>34186</v>
      </c>
      <c r="J1912" s="22">
        <v>34186</v>
      </c>
      <c r="K1912" s="218">
        <f t="shared" si="163"/>
        <v>100</v>
      </c>
      <c r="L1912" s="278"/>
      <c r="M1912" s="284"/>
      <c r="N1912" s="22"/>
      <c r="O1912" s="218"/>
      <c r="P1912" s="278"/>
      <c r="Q1912" s="284">
        <f t="shared" si="165"/>
        <v>34186</v>
      </c>
      <c r="R1912" s="22">
        <f t="shared" si="165"/>
        <v>34186</v>
      </c>
      <c r="S1912" s="219">
        <f t="shared" si="164"/>
        <v>100</v>
      </c>
    </row>
    <row r="1913" spans="2:19" x14ac:dyDescent="0.2">
      <c r="B1913" s="78">
        <f t="shared" si="162"/>
        <v>146</v>
      </c>
      <c r="C1913" s="7"/>
      <c r="D1913" s="7"/>
      <c r="E1913" s="7"/>
      <c r="F1913" s="24" t="s">
        <v>68</v>
      </c>
      <c r="G1913" s="7">
        <v>630</v>
      </c>
      <c r="H1913" s="7" t="s">
        <v>133</v>
      </c>
      <c r="I1913" s="22">
        <f>I1919+I1918+I1917+I1916+I1915+I1914</f>
        <v>32749</v>
      </c>
      <c r="J1913" s="22">
        <f>J1919+J1918+J1917+J1916+J1915+J1914</f>
        <v>31171</v>
      </c>
      <c r="K1913" s="218">
        <f t="shared" si="163"/>
        <v>95.181532260527035</v>
      </c>
      <c r="L1913" s="278"/>
      <c r="M1913" s="284"/>
      <c r="N1913" s="22"/>
      <c r="O1913" s="218"/>
      <c r="P1913" s="278"/>
      <c r="Q1913" s="284">
        <f t="shared" si="165"/>
        <v>32749</v>
      </c>
      <c r="R1913" s="22">
        <f t="shared" si="165"/>
        <v>31171</v>
      </c>
      <c r="S1913" s="219">
        <f t="shared" si="164"/>
        <v>95.181532260527035</v>
      </c>
    </row>
    <row r="1914" spans="2:19" x14ac:dyDescent="0.2">
      <c r="B1914" s="78">
        <f t="shared" si="162"/>
        <v>147</v>
      </c>
      <c r="C1914" s="3"/>
      <c r="D1914" s="3"/>
      <c r="E1914" s="3"/>
      <c r="F1914" s="25" t="s">
        <v>68</v>
      </c>
      <c r="G1914" s="3">
        <v>631</v>
      </c>
      <c r="H1914" s="3" t="s">
        <v>139</v>
      </c>
      <c r="I1914" s="18">
        <v>300</v>
      </c>
      <c r="J1914" s="18">
        <v>39</v>
      </c>
      <c r="K1914" s="218">
        <f t="shared" si="163"/>
        <v>13</v>
      </c>
      <c r="L1914" s="279"/>
      <c r="M1914" s="285"/>
      <c r="N1914" s="18"/>
      <c r="O1914" s="218"/>
      <c r="P1914" s="279"/>
      <c r="Q1914" s="285">
        <f t="shared" si="165"/>
        <v>300</v>
      </c>
      <c r="R1914" s="18">
        <f t="shared" si="165"/>
        <v>39</v>
      </c>
      <c r="S1914" s="219">
        <f t="shared" si="164"/>
        <v>13</v>
      </c>
    </row>
    <row r="1915" spans="2:19" x14ac:dyDescent="0.2">
      <c r="B1915" s="78">
        <f t="shared" si="162"/>
        <v>148</v>
      </c>
      <c r="C1915" s="3"/>
      <c r="D1915" s="3"/>
      <c r="E1915" s="3"/>
      <c r="F1915" s="25" t="s">
        <v>68</v>
      </c>
      <c r="G1915" s="3">
        <v>632</v>
      </c>
      <c r="H1915" s="3" t="s">
        <v>146</v>
      </c>
      <c r="I1915" s="18">
        <v>2300</v>
      </c>
      <c r="J1915" s="18">
        <v>1919</v>
      </c>
      <c r="K1915" s="218">
        <f t="shared" si="163"/>
        <v>83.434782608695656</v>
      </c>
      <c r="L1915" s="279"/>
      <c r="M1915" s="285"/>
      <c r="N1915" s="18"/>
      <c r="O1915" s="218"/>
      <c r="P1915" s="279"/>
      <c r="Q1915" s="285">
        <f t="shared" si="165"/>
        <v>2300</v>
      </c>
      <c r="R1915" s="18">
        <f t="shared" si="165"/>
        <v>1919</v>
      </c>
      <c r="S1915" s="219">
        <f t="shared" si="164"/>
        <v>83.434782608695656</v>
      </c>
    </row>
    <row r="1916" spans="2:19" x14ac:dyDescent="0.2">
      <c r="B1916" s="78">
        <f t="shared" si="162"/>
        <v>149</v>
      </c>
      <c r="C1916" s="3"/>
      <c r="D1916" s="3"/>
      <c r="E1916" s="3"/>
      <c r="F1916" s="25" t="s">
        <v>68</v>
      </c>
      <c r="G1916" s="3">
        <v>633</v>
      </c>
      <c r="H1916" s="3" t="s">
        <v>137</v>
      </c>
      <c r="I1916" s="18">
        <v>4360</v>
      </c>
      <c r="J1916" s="18">
        <v>4099</v>
      </c>
      <c r="K1916" s="218">
        <f t="shared" si="163"/>
        <v>94.013761467889907</v>
      </c>
      <c r="L1916" s="279"/>
      <c r="M1916" s="285"/>
      <c r="N1916" s="18"/>
      <c r="O1916" s="218"/>
      <c r="P1916" s="279"/>
      <c r="Q1916" s="285">
        <f t="shared" si="165"/>
        <v>4360</v>
      </c>
      <c r="R1916" s="18">
        <f t="shared" si="165"/>
        <v>4099</v>
      </c>
      <c r="S1916" s="219">
        <f t="shared" si="164"/>
        <v>94.013761467889907</v>
      </c>
    </row>
    <row r="1917" spans="2:19" x14ac:dyDescent="0.2">
      <c r="B1917" s="78">
        <f t="shared" si="162"/>
        <v>150</v>
      </c>
      <c r="C1917" s="3"/>
      <c r="D1917" s="3"/>
      <c r="E1917" s="3"/>
      <c r="F1917" s="25" t="s">
        <v>68</v>
      </c>
      <c r="G1917" s="3">
        <v>634</v>
      </c>
      <c r="H1917" s="3" t="s">
        <v>144</v>
      </c>
      <c r="I1917" s="18">
        <v>1488</v>
      </c>
      <c r="J1917" s="18">
        <v>1427</v>
      </c>
      <c r="K1917" s="218">
        <f t="shared" si="163"/>
        <v>95.900537634408607</v>
      </c>
      <c r="L1917" s="279"/>
      <c r="M1917" s="285"/>
      <c r="N1917" s="18"/>
      <c r="O1917" s="218"/>
      <c r="P1917" s="279"/>
      <c r="Q1917" s="285">
        <f t="shared" si="165"/>
        <v>1488</v>
      </c>
      <c r="R1917" s="18">
        <f t="shared" si="165"/>
        <v>1427</v>
      </c>
      <c r="S1917" s="219">
        <f t="shared" si="164"/>
        <v>95.900537634408607</v>
      </c>
    </row>
    <row r="1918" spans="2:19" x14ac:dyDescent="0.2">
      <c r="B1918" s="78">
        <f t="shared" si="162"/>
        <v>151</v>
      </c>
      <c r="C1918" s="3"/>
      <c r="D1918" s="3"/>
      <c r="E1918" s="3"/>
      <c r="F1918" s="25" t="s">
        <v>68</v>
      </c>
      <c r="G1918" s="3">
        <v>635</v>
      </c>
      <c r="H1918" s="3" t="s">
        <v>145</v>
      </c>
      <c r="I1918" s="18">
        <f>1600-1000</f>
        <v>600</v>
      </c>
      <c r="J1918" s="18">
        <v>0</v>
      </c>
      <c r="K1918" s="218">
        <f t="shared" si="163"/>
        <v>0</v>
      </c>
      <c r="L1918" s="279"/>
      <c r="M1918" s="285"/>
      <c r="N1918" s="18"/>
      <c r="O1918" s="218"/>
      <c r="P1918" s="279"/>
      <c r="Q1918" s="285">
        <f t="shared" si="165"/>
        <v>600</v>
      </c>
      <c r="R1918" s="18">
        <f t="shared" si="165"/>
        <v>0</v>
      </c>
      <c r="S1918" s="219">
        <f t="shared" si="164"/>
        <v>0</v>
      </c>
    </row>
    <row r="1919" spans="2:19" x14ac:dyDescent="0.2">
      <c r="B1919" s="163">
        <f t="shared" si="162"/>
        <v>152</v>
      </c>
      <c r="C1919" s="188"/>
      <c r="D1919" s="188"/>
      <c r="E1919" s="188"/>
      <c r="F1919" s="198" t="s">
        <v>68</v>
      </c>
      <c r="G1919" s="188">
        <v>637</v>
      </c>
      <c r="H1919" s="188" t="s">
        <v>134</v>
      </c>
      <c r="I1919" s="199">
        <f>21287+1414+1000</f>
        <v>23701</v>
      </c>
      <c r="J1919" s="199">
        <v>23687</v>
      </c>
      <c r="K1919" s="218">
        <f t="shared" si="163"/>
        <v>99.940930762415093</v>
      </c>
      <c r="L1919" s="279"/>
      <c r="M1919" s="356"/>
      <c r="N1919" s="199"/>
      <c r="O1919" s="218"/>
      <c r="P1919" s="279"/>
      <c r="Q1919" s="356">
        <f t="shared" si="165"/>
        <v>23701</v>
      </c>
      <c r="R1919" s="199">
        <f t="shared" si="165"/>
        <v>23687</v>
      </c>
      <c r="S1919" s="219">
        <f t="shared" si="164"/>
        <v>99.940930762415093</v>
      </c>
    </row>
    <row r="1920" spans="2:19" ht="13.5" thickBot="1" x14ac:dyDescent="0.25">
      <c r="B1920" s="83">
        <f t="shared" si="162"/>
        <v>153</v>
      </c>
      <c r="C1920" s="105"/>
      <c r="D1920" s="105"/>
      <c r="E1920" s="105"/>
      <c r="F1920" s="106" t="s">
        <v>83</v>
      </c>
      <c r="G1920" s="105">
        <v>640</v>
      </c>
      <c r="H1920" s="105" t="s">
        <v>141</v>
      </c>
      <c r="I1920" s="107">
        <f>1943+110</f>
        <v>2053</v>
      </c>
      <c r="J1920" s="107">
        <v>2045</v>
      </c>
      <c r="K1920" s="269">
        <f t="shared" si="163"/>
        <v>99.61032635168047</v>
      </c>
      <c r="L1920" s="278"/>
      <c r="M1920" s="345"/>
      <c r="N1920" s="107"/>
      <c r="O1920" s="269"/>
      <c r="P1920" s="278"/>
      <c r="Q1920" s="345">
        <f t="shared" si="165"/>
        <v>2053</v>
      </c>
      <c r="R1920" s="107">
        <f t="shared" si="165"/>
        <v>2045</v>
      </c>
      <c r="S1920" s="259">
        <f t="shared" si="164"/>
        <v>99.61032635168047</v>
      </c>
    </row>
    <row r="1924" spans="2:19" ht="27.75" thickBot="1" x14ac:dyDescent="0.4">
      <c r="B1924" s="515" t="s">
        <v>32</v>
      </c>
      <c r="C1924" s="516"/>
      <c r="D1924" s="516"/>
      <c r="E1924" s="516"/>
      <c r="F1924" s="516"/>
      <c r="G1924" s="516"/>
      <c r="H1924" s="516"/>
      <c r="I1924" s="516"/>
      <c r="J1924" s="516"/>
      <c r="K1924" s="516"/>
      <c r="L1924" s="516"/>
      <c r="M1924" s="516"/>
      <c r="N1924" s="516"/>
      <c r="O1924" s="516"/>
      <c r="P1924" s="516"/>
      <c r="Q1924" s="516"/>
    </row>
    <row r="1925" spans="2:19" ht="13.5" thickBot="1" x14ac:dyDescent="0.25">
      <c r="B1925" s="517" t="s">
        <v>352</v>
      </c>
      <c r="C1925" s="518"/>
      <c r="D1925" s="518"/>
      <c r="E1925" s="518"/>
      <c r="F1925" s="518"/>
      <c r="G1925" s="518"/>
      <c r="H1925" s="518"/>
      <c r="I1925" s="518"/>
      <c r="J1925" s="518"/>
      <c r="K1925" s="518"/>
      <c r="L1925" s="518"/>
      <c r="M1925" s="518"/>
      <c r="N1925" s="518"/>
      <c r="O1925" s="519"/>
      <c r="P1925" s="270"/>
      <c r="Q1925" s="520" t="s">
        <v>662</v>
      </c>
      <c r="R1925" s="496" t="s">
        <v>668</v>
      </c>
      <c r="S1925" s="499" t="s">
        <v>663</v>
      </c>
    </row>
    <row r="1926" spans="2:19" x14ac:dyDescent="0.2">
      <c r="B1926" s="522"/>
      <c r="C1926" s="525" t="s">
        <v>126</v>
      </c>
      <c r="D1926" s="525" t="s">
        <v>127</v>
      </c>
      <c r="E1926" s="525"/>
      <c r="F1926" s="525" t="s">
        <v>128</v>
      </c>
      <c r="G1926" s="506" t="s">
        <v>129</v>
      </c>
      <c r="H1926" s="509" t="s">
        <v>130</v>
      </c>
      <c r="I1926" s="496" t="s">
        <v>664</v>
      </c>
      <c r="J1926" s="496" t="s">
        <v>666</v>
      </c>
      <c r="K1926" s="499" t="s">
        <v>663</v>
      </c>
      <c r="L1926" s="215"/>
      <c r="M1926" s="512" t="s">
        <v>665</v>
      </c>
      <c r="N1926" s="496" t="s">
        <v>667</v>
      </c>
      <c r="O1926" s="499" t="s">
        <v>663</v>
      </c>
      <c r="P1926" s="215"/>
      <c r="Q1926" s="521"/>
      <c r="R1926" s="497"/>
      <c r="S1926" s="500"/>
    </row>
    <row r="1927" spans="2:19" x14ac:dyDescent="0.2">
      <c r="B1927" s="523"/>
      <c r="C1927" s="526"/>
      <c r="D1927" s="526"/>
      <c r="E1927" s="526"/>
      <c r="F1927" s="526"/>
      <c r="G1927" s="507"/>
      <c r="H1927" s="510"/>
      <c r="I1927" s="497"/>
      <c r="J1927" s="497"/>
      <c r="K1927" s="500"/>
      <c r="L1927" s="215"/>
      <c r="M1927" s="513"/>
      <c r="N1927" s="497"/>
      <c r="O1927" s="500"/>
      <c r="P1927" s="215"/>
      <c r="Q1927" s="521"/>
      <c r="R1927" s="497"/>
      <c r="S1927" s="500"/>
    </row>
    <row r="1928" spans="2:19" x14ac:dyDescent="0.2">
      <c r="B1928" s="523"/>
      <c r="C1928" s="526"/>
      <c r="D1928" s="526"/>
      <c r="E1928" s="526"/>
      <c r="F1928" s="526"/>
      <c r="G1928" s="507"/>
      <c r="H1928" s="510"/>
      <c r="I1928" s="497"/>
      <c r="J1928" s="497"/>
      <c r="K1928" s="500"/>
      <c r="L1928" s="215"/>
      <c r="M1928" s="513"/>
      <c r="N1928" s="497"/>
      <c r="O1928" s="500"/>
      <c r="P1928" s="215"/>
      <c r="Q1928" s="521"/>
      <c r="R1928" s="497"/>
      <c r="S1928" s="500"/>
    </row>
    <row r="1929" spans="2:19" ht="13.5" thickBot="1" x14ac:dyDescent="0.25">
      <c r="B1929" s="524"/>
      <c r="C1929" s="527"/>
      <c r="D1929" s="527"/>
      <c r="E1929" s="527"/>
      <c r="F1929" s="527"/>
      <c r="G1929" s="508"/>
      <c r="H1929" s="511"/>
      <c r="I1929" s="498"/>
      <c r="J1929" s="498"/>
      <c r="K1929" s="501"/>
      <c r="L1929" s="215"/>
      <c r="M1929" s="514"/>
      <c r="N1929" s="498"/>
      <c r="O1929" s="501"/>
      <c r="P1929" s="215"/>
      <c r="Q1929" s="521"/>
      <c r="R1929" s="498"/>
      <c r="S1929" s="501"/>
    </row>
    <row r="1930" spans="2:19" ht="16.5" thickTop="1" x14ac:dyDescent="0.2">
      <c r="B1930" s="78">
        <f t="shared" ref="B1930:B1955" si="166">B1929+1</f>
        <v>1</v>
      </c>
      <c r="C1930" s="502" t="s">
        <v>32</v>
      </c>
      <c r="D1930" s="503"/>
      <c r="E1930" s="503"/>
      <c r="F1930" s="503"/>
      <c r="G1930" s="503"/>
      <c r="H1930" s="504"/>
      <c r="I1930" s="34">
        <f>I1931</f>
        <v>282050</v>
      </c>
      <c r="J1930" s="34">
        <f>J1931</f>
        <v>207688</v>
      </c>
      <c r="K1930" s="218">
        <f t="shared" ref="K1930:K1951" si="167">J1930/I1930*100</f>
        <v>73.635171068959409</v>
      </c>
      <c r="L1930" s="288"/>
      <c r="M1930" s="281">
        <f>M1931</f>
        <v>3579555</v>
      </c>
      <c r="N1930" s="34">
        <f>N1931</f>
        <v>3124350</v>
      </c>
      <c r="O1930" s="218">
        <f t="shared" ref="O1930:O1955" si="168">N1930/M1930*100</f>
        <v>87.28319581623974</v>
      </c>
      <c r="P1930" s="288"/>
      <c r="Q1930" s="281">
        <f t="shared" ref="Q1930:R1954" si="169">I1930+M1930</f>
        <v>3861605</v>
      </c>
      <c r="R1930" s="34">
        <f t="shared" si="169"/>
        <v>3332038</v>
      </c>
      <c r="S1930" s="219">
        <f t="shared" ref="S1930:S1955" si="170">R1930/Q1930*100</f>
        <v>86.286349846760615</v>
      </c>
    </row>
    <row r="1931" spans="2:19" ht="15" x14ac:dyDescent="0.2">
      <c r="B1931" s="78">
        <f t="shared" si="166"/>
        <v>2</v>
      </c>
      <c r="C1931" s="430">
        <v>1</v>
      </c>
      <c r="D1931" s="505" t="s">
        <v>167</v>
      </c>
      <c r="E1931" s="494"/>
      <c r="F1931" s="494"/>
      <c r="G1931" s="494"/>
      <c r="H1931" s="495"/>
      <c r="I1931" s="35">
        <f>I1932+I1944</f>
        <v>282050</v>
      </c>
      <c r="J1931" s="35">
        <f>J1932+J1944</f>
        <v>207688</v>
      </c>
      <c r="K1931" s="218">
        <f t="shared" si="167"/>
        <v>73.635171068959409</v>
      </c>
      <c r="L1931" s="276"/>
      <c r="M1931" s="282">
        <f>M1932+M1943+M1944</f>
        <v>3579555</v>
      </c>
      <c r="N1931" s="35">
        <f>N1932+N1943+N1944</f>
        <v>3124350</v>
      </c>
      <c r="O1931" s="218">
        <f t="shared" si="168"/>
        <v>87.28319581623974</v>
      </c>
      <c r="P1931" s="276"/>
      <c r="Q1931" s="282">
        <f t="shared" si="169"/>
        <v>3861605</v>
      </c>
      <c r="R1931" s="35">
        <f t="shared" si="169"/>
        <v>3332038</v>
      </c>
      <c r="S1931" s="219">
        <f t="shared" si="170"/>
        <v>86.286349846760615</v>
      </c>
    </row>
    <row r="1932" spans="2:19" ht="15" x14ac:dyDescent="0.25">
      <c r="B1932" s="78">
        <f t="shared" si="166"/>
        <v>3</v>
      </c>
      <c r="C1932" s="429"/>
      <c r="D1932" s="429">
        <v>1</v>
      </c>
      <c r="E1932" s="493" t="s">
        <v>166</v>
      </c>
      <c r="F1932" s="494"/>
      <c r="G1932" s="494"/>
      <c r="H1932" s="495"/>
      <c r="I1932" s="36">
        <f>I1933+I1936</f>
        <v>244600</v>
      </c>
      <c r="J1932" s="36">
        <f>J1933+J1936</f>
        <v>178785</v>
      </c>
      <c r="K1932" s="218">
        <f t="shared" si="167"/>
        <v>73.092804578904335</v>
      </c>
      <c r="L1932" s="277"/>
      <c r="M1932" s="283">
        <f>M1938</f>
        <v>41000</v>
      </c>
      <c r="N1932" s="36">
        <f>N1938</f>
        <v>516</v>
      </c>
      <c r="O1932" s="218">
        <f t="shared" si="168"/>
        <v>1.2585365853658537</v>
      </c>
      <c r="P1932" s="277"/>
      <c r="Q1932" s="283">
        <f t="shared" si="169"/>
        <v>285600</v>
      </c>
      <c r="R1932" s="36">
        <f t="shared" si="169"/>
        <v>179301</v>
      </c>
      <c r="S1932" s="219">
        <f t="shared" si="170"/>
        <v>62.780462184873954</v>
      </c>
    </row>
    <row r="1933" spans="2:19" x14ac:dyDescent="0.2">
      <c r="B1933" s="78">
        <f t="shared" si="166"/>
        <v>4</v>
      </c>
      <c r="C1933" s="7"/>
      <c r="D1933" s="7"/>
      <c r="E1933" s="7"/>
      <c r="F1933" s="24" t="s">
        <v>165</v>
      </c>
      <c r="G1933" s="7">
        <v>630</v>
      </c>
      <c r="H1933" s="7" t="s">
        <v>133</v>
      </c>
      <c r="I1933" s="22">
        <f>I1935+I1934</f>
        <v>186100</v>
      </c>
      <c r="J1933" s="22">
        <f>J1935+J1934</f>
        <v>126709</v>
      </c>
      <c r="K1933" s="218">
        <f t="shared" si="167"/>
        <v>68.086512627619555</v>
      </c>
      <c r="L1933" s="278"/>
      <c r="M1933" s="284"/>
      <c r="N1933" s="22"/>
      <c r="O1933" s="218"/>
      <c r="P1933" s="278"/>
      <c r="Q1933" s="284">
        <f t="shared" si="169"/>
        <v>186100</v>
      </c>
      <c r="R1933" s="22">
        <f t="shared" si="169"/>
        <v>126709</v>
      </c>
      <c r="S1933" s="219">
        <f t="shared" si="170"/>
        <v>68.086512627619555</v>
      </c>
    </row>
    <row r="1934" spans="2:19" x14ac:dyDescent="0.2">
      <c r="B1934" s="78">
        <f t="shared" si="166"/>
        <v>5</v>
      </c>
      <c r="C1934" s="3"/>
      <c r="D1934" s="3"/>
      <c r="E1934" s="3"/>
      <c r="F1934" s="25" t="s">
        <v>165</v>
      </c>
      <c r="G1934" s="3">
        <v>636</v>
      </c>
      <c r="H1934" s="3" t="s">
        <v>138</v>
      </c>
      <c r="I1934" s="18">
        <v>29800</v>
      </c>
      <c r="J1934" s="18">
        <v>0</v>
      </c>
      <c r="K1934" s="218">
        <f t="shared" si="167"/>
        <v>0</v>
      </c>
      <c r="L1934" s="279"/>
      <c r="M1934" s="285"/>
      <c r="N1934" s="18"/>
      <c r="O1934" s="218"/>
      <c r="P1934" s="279"/>
      <c r="Q1934" s="285">
        <f t="shared" si="169"/>
        <v>29800</v>
      </c>
      <c r="R1934" s="18">
        <f t="shared" si="169"/>
        <v>0</v>
      </c>
      <c r="S1934" s="219">
        <f t="shared" si="170"/>
        <v>0</v>
      </c>
    </row>
    <row r="1935" spans="2:19" x14ac:dyDescent="0.2">
      <c r="B1935" s="78">
        <f t="shared" si="166"/>
        <v>6</v>
      </c>
      <c r="C1935" s="3"/>
      <c r="D1935" s="3"/>
      <c r="E1935" s="3"/>
      <c r="F1935" s="25" t="s">
        <v>165</v>
      </c>
      <c r="G1935" s="3">
        <v>637</v>
      </c>
      <c r="H1935" s="3" t="s">
        <v>134</v>
      </c>
      <c r="I1935" s="18">
        <f>156300+5000-5000</f>
        <v>156300</v>
      </c>
      <c r="J1935" s="18">
        <v>126709</v>
      </c>
      <c r="K1935" s="218">
        <f t="shared" si="167"/>
        <v>81.067818298144587</v>
      </c>
      <c r="L1935" s="279"/>
      <c r="M1935" s="285"/>
      <c r="N1935" s="18"/>
      <c r="O1935" s="218"/>
      <c r="P1935" s="279"/>
      <c r="Q1935" s="285">
        <f t="shared" si="169"/>
        <v>156300</v>
      </c>
      <c r="R1935" s="18">
        <f t="shared" si="169"/>
        <v>126709</v>
      </c>
      <c r="S1935" s="219">
        <f t="shared" si="170"/>
        <v>81.067818298144587</v>
      </c>
    </row>
    <row r="1936" spans="2:19" x14ac:dyDescent="0.2">
      <c r="B1936" s="78">
        <f t="shared" si="166"/>
        <v>7</v>
      </c>
      <c r="C1936" s="7"/>
      <c r="D1936" s="7"/>
      <c r="E1936" s="7"/>
      <c r="F1936" s="24" t="s">
        <v>165</v>
      </c>
      <c r="G1936" s="7">
        <v>640</v>
      </c>
      <c r="H1936" s="7" t="s">
        <v>141</v>
      </c>
      <c r="I1936" s="22">
        <f>I1937</f>
        <v>58500</v>
      </c>
      <c r="J1936" s="22">
        <f>J1937</f>
        <v>52076</v>
      </c>
      <c r="K1936" s="218">
        <f t="shared" si="167"/>
        <v>89.018803418803415</v>
      </c>
      <c r="L1936" s="278"/>
      <c r="M1936" s="284"/>
      <c r="N1936" s="22"/>
      <c r="O1936" s="218"/>
      <c r="P1936" s="278"/>
      <c r="Q1936" s="284">
        <f t="shared" si="169"/>
        <v>58500</v>
      </c>
      <c r="R1936" s="22">
        <f t="shared" si="169"/>
        <v>52076</v>
      </c>
      <c r="S1936" s="219">
        <f t="shared" si="170"/>
        <v>89.018803418803415</v>
      </c>
    </row>
    <row r="1937" spans="2:19" x14ac:dyDescent="0.2">
      <c r="B1937" s="78">
        <f t="shared" si="166"/>
        <v>8</v>
      </c>
      <c r="C1937" s="3"/>
      <c r="D1937" s="3"/>
      <c r="E1937" s="3"/>
      <c r="F1937" s="25" t="s">
        <v>165</v>
      </c>
      <c r="G1937" s="3">
        <v>642</v>
      </c>
      <c r="H1937" s="3" t="s">
        <v>142</v>
      </c>
      <c r="I1937" s="18">
        <f>39000+19500</f>
        <v>58500</v>
      </c>
      <c r="J1937" s="18">
        <v>52076</v>
      </c>
      <c r="K1937" s="218">
        <f t="shared" si="167"/>
        <v>89.018803418803415</v>
      </c>
      <c r="L1937" s="279"/>
      <c r="M1937" s="285"/>
      <c r="N1937" s="18"/>
      <c r="O1937" s="218"/>
      <c r="P1937" s="279"/>
      <c r="Q1937" s="285">
        <f t="shared" si="169"/>
        <v>58500</v>
      </c>
      <c r="R1937" s="18">
        <f t="shared" si="169"/>
        <v>52076</v>
      </c>
      <c r="S1937" s="219">
        <f t="shared" si="170"/>
        <v>89.018803418803415</v>
      </c>
    </row>
    <row r="1938" spans="2:19" x14ac:dyDescent="0.2">
      <c r="B1938" s="78">
        <f t="shared" si="166"/>
        <v>9</v>
      </c>
      <c r="C1938" s="3"/>
      <c r="D1938" s="3"/>
      <c r="E1938" s="3"/>
      <c r="F1938" s="24" t="s">
        <v>165</v>
      </c>
      <c r="G1938" s="7">
        <v>710</v>
      </c>
      <c r="H1938" s="7" t="s">
        <v>188</v>
      </c>
      <c r="I1938" s="18"/>
      <c r="J1938" s="18"/>
      <c r="K1938" s="218"/>
      <c r="L1938" s="279"/>
      <c r="M1938" s="289">
        <f>M1941+M1939</f>
        <v>41000</v>
      </c>
      <c r="N1938" s="17">
        <f>N1941+N1939</f>
        <v>516</v>
      </c>
      <c r="O1938" s="218">
        <f t="shared" si="168"/>
        <v>1.2585365853658537</v>
      </c>
      <c r="P1938" s="278"/>
      <c r="Q1938" s="289">
        <f t="shared" si="169"/>
        <v>41000</v>
      </c>
      <c r="R1938" s="17">
        <f t="shared" si="169"/>
        <v>516</v>
      </c>
      <c r="S1938" s="219">
        <f t="shared" si="170"/>
        <v>1.2585365853658537</v>
      </c>
    </row>
    <row r="1939" spans="2:19" x14ac:dyDescent="0.2">
      <c r="B1939" s="78">
        <f t="shared" si="166"/>
        <v>10</v>
      </c>
      <c r="C1939" s="3"/>
      <c r="D1939" s="3"/>
      <c r="E1939" s="3"/>
      <c r="F1939" s="25" t="s">
        <v>165</v>
      </c>
      <c r="G1939" s="3">
        <v>716</v>
      </c>
      <c r="H1939" s="3" t="s">
        <v>231</v>
      </c>
      <c r="I1939" s="18"/>
      <c r="J1939" s="18"/>
      <c r="K1939" s="218"/>
      <c r="L1939" s="279"/>
      <c r="M1939" s="285">
        <f>M1940</f>
        <v>1000</v>
      </c>
      <c r="N1939" s="18">
        <f>N1940</f>
        <v>492</v>
      </c>
      <c r="O1939" s="218">
        <f t="shared" si="168"/>
        <v>49.2</v>
      </c>
      <c r="P1939" s="279"/>
      <c r="Q1939" s="285">
        <f t="shared" si="169"/>
        <v>1000</v>
      </c>
      <c r="R1939" s="18">
        <f t="shared" si="169"/>
        <v>492</v>
      </c>
      <c r="S1939" s="219">
        <f t="shared" si="170"/>
        <v>49.2</v>
      </c>
    </row>
    <row r="1940" spans="2:19" x14ac:dyDescent="0.2">
      <c r="B1940" s="78">
        <f t="shared" si="166"/>
        <v>11</v>
      </c>
      <c r="C1940" s="3"/>
      <c r="D1940" s="3"/>
      <c r="E1940" s="3"/>
      <c r="F1940" s="180"/>
      <c r="G1940" s="129"/>
      <c r="H1940" s="129" t="s">
        <v>585</v>
      </c>
      <c r="I1940" s="18"/>
      <c r="J1940" s="18"/>
      <c r="K1940" s="218"/>
      <c r="L1940" s="279"/>
      <c r="M1940" s="286">
        <v>1000</v>
      </c>
      <c r="N1940" s="20">
        <v>492</v>
      </c>
      <c r="O1940" s="218">
        <f t="shared" si="168"/>
        <v>49.2</v>
      </c>
      <c r="P1940" s="280"/>
      <c r="Q1940" s="286">
        <f t="shared" si="169"/>
        <v>1000</v>
      </c>
      <c r="R1940" s="20">
        <f t="shared" si="169"/>
        <v>492</v>
      </c>
      <c r="S1940" s="219">
        <f t="shared" si="170"/>
        <v>49.2</v>
      </c>
    </row>
    <row r="1941" spans="2:19" x14ac:dyDescent="0.2">
      <c r="B1941" s="78">
        <f t="shared" si="166"/>
        <v>12</v>
      </c>
      <c r="C1941" s="3"/>
      <c r="D1941" s="3"/>
      <c r="E1941" s="3"/>
      <c r="F1941" s="25" t="s">
        <v>165</v>
      </c>
      <c r="G1941" s="3">
        <v>717</v>
      </c>
      <c r="H1941" s="3" t="s">
        <v>198</v>
      </c>
      <c r="I1941" s="18"/>
      <c r="J1941" s="18"/>
      <c r="K1941" s="218"/>
      <c r="L1941" s="279"/>
      <c r="M1941" s="285">
        <f>M1942</f>
        <v>40000</v>
      </c>
      <c r="N1941" s="18">
        <f>N1942</f>
        <v>24</v>
      </c>
      <c r="O1941" s="218">
        <f t="shared" si="168"/>
        <v>0.06</v>
      </c>
      <c r="P1941" s="279"/>
      <c r="Q1941" s="285">
        <f t="shared" si="169"/>
        <v>40000</v>
      </c>
      <c r="R1941" s="18">
        <f t="shared" si="169"/>
        <v>24</v>
      </c>
      <c r="S1941" s="219">
        <f t="shared" si="170"/>
        <v>0.06</v>
      </c>
    </row>
    <row r="1942" spans="2:19" x14ac:dyDescent="0.2">
      <c r="B1942" s="78">
        <f t="shared" si="166"/>
        <v>13</v>
      </c>
      <c r="C1942" s="3"/>
      <c r="D1942" s="3"/>
      <c r="E1942" s="188"/>
      <c r="F1942" s="180"/>
      <c r="G1942" s="129"/>
      <c r="H1942" s="129" t="s">
        <v>585</v>
      </c>
      <c r="I1942" s="18"/>
      <c r="J1942" s="18"/>
      <c r="K1942" s="218"/>
      <c r="L1942" s="279"/>
      <c r="M1942" s="286">
        <f>41000-1000</f>
        <v>40000</v>
      </c>
      <c r="N1942" s="20">
        <v>24</v>
      </c>
      <c r="O1942" s="218">
        <f t="shared" si="168"/>
        <v>0.06</v>
      </c>
      <c r="P1942" s="280"/>
      <c r="Q1942" s="286">
        <f t="shared" si="169"/>
        <v>40000</v>
      </c>
      <c r="R1942" s="20">
        <f t="shared" si="169"/>
        <v>24</v>
      </c>
      <c r="S1942" s="219">
        <f t="shared" si="170"/>
        <v>0.06</v>
      </c>
    </row>
    <row r="1943" spans="2:19" ht="15" x14ac:dyDescent="0.25">
      <c r="B1943" s="78">
        <f t="shared" si="166"/>
        <v>14</v>
      </c>
      <c r="C1943" s="429"/>
      <c r="D1943" s="429">
        <v>2</v>
      </c>
      <c r="E1943" s="493" t="s">
        <v>344</v>
      </c>
      <c r="F1943" s="494"/>
      <c r="G1943" s="494"/>
      <c r="H1943" s="495"/>
      <c r="I1943" s="36">
        <v>0</v>
      </c>
      <c r="J1943" s="36"/>
      <c r="K1943" s="218"/>
      <c r="L1943" s="277"/>
      <c r="M1943" s="283">
        <v>0</v>
      </c>
      <c r="N1943" s="36"/>
      <c r="O1943" s="218"/>
      <c r="P1943" s="277"/>
      <c r="Q1943" s="283">
        <f t="shared" si="169"/>
        <v>0</v>
      </c>
      <c r="R1943" s="36">
        <f t="shared" si="169"/>
        <v>0</v>
      </c>
      <c r="S1943" s="219"/>
    </row>
    <row r="1944" spans="2:19" ht="15" x14ac:dyDescent="0.25">
      <c r="B1944" s="78">
        <f t="shared" si="166"/>
        <v>15</v>
      </c>
      <c r="C1944" s="429"/>
      <c r="D1944" s="429">
        <v>3</v>
      </c>
      <c r="E1944" s="493" t="s">
        <v>202</v>
      </c>
      <c r="F1944" s="494"/>
      <c r="G1944" s="494"/>
      <c r="H1944" s="495"/>
      <c r="I1944" s="36">
        <f>I1945+I1946+I1947+I1952</f>
        <v>37450</v>
      </c>
      <c r="J1944" s="36">
        <f>J1945+J1946+J1947+J1952</f>
        <v>28903</v>
      </c>
      <c r="K1944" s="218">
        <f t="shared" si="167"/>
        <v>77.177570093457945</v>
      </c>
      <c r="L1944" s="277"/>
      <c r="M1944" s="283">
        <f>M1952</f>
        <v>3538555</v>
      </c>
      <c r="N1944" s="36">
        <f>N1952</f>
        <v>3123834</v>
      </c>
      <c r="O1944" s="218">
        <f t="shared" si="168"/>
        <v>88.279933475670163</v>
      </c>
      <c r="P1944" s="277"/>
      <c r="Q1944" s="283">
        <f t="shared" si="169"/>
        <v>3576005</v>
      </c>
      <c r="R1944" s="36">
        <f t="shared" si="169"/>
        <v>3152737</v>
      </c>
      <c r="S1944" s="219">
        <f t="shared" si="170"/>
        <v>88.163663082126561</v>
      </c>
    </row>
    <row r="1945" spans="2:19" x14ac:dyDescent="0.2">
      <c r="B1945" s="78">
        <f t="shared" si="166"/>
        <v>16</v>
      </c>
      <c r="C1945" s="7"/>
      <c r="D1945" s="7"/>
      <c r="E1945" s="7"/>
      <c r="F1945" s="24" t="s">
        <v>201</v>
      </c>
      <c r="G1945" s="7">
        <v>610</v>
      </c>
      <c r="H1945" s="7" t="s">
        <v>143</v>
      </c>
      <c r="I1945" s="22">
        <v>25000</v>
      </c>
      <c r="J1945" s="22">
        <v>19647</v>
      </c>
      <c r="K1945" s="218">
        <f t="shared" si="167"/>
        <v>78.588000000000008</v>
      </c>
      <c r="L1945" s="278"/>
      <c r="M1945" s="284"/>
      <c r="N1945" s="22"/>
      <c r="O1945" s="218"/>
      <c r="P1945" s="278"/>
      <c r="Q1945" s="284">
        <f t="shared" si="169"/>
        <v>25000</v>
      </c>
      <c r="R1945" s="22">
        <f t="shared" si="169"/>
        <v>19647</v>
      </c>
      <c r="S1945" s="219">
        <f t="shared" si="170"/>
        <v>78.588000000000008</v>
      </c>
    </row>
    <row r="1946" spans="2:19" x14ac:dyDescent="0.2">
      <c r="B1946" s="78">
        <f t="shared" si="166"/>
        <v>17</v>
      </c>
      <c r="C1946" s="7"/>
      <c r="D1946" s="7"/>
      <c r="E1946" s="7"/>
      <c r="F1946" s="24" t="s">
        <v>201</v>
      </c>
      <c r="G1946" s="7">
        <v>620</v>
      </c>
      <c r="H1946" s="7" t="s">
        <v>136</v>
      </c>
      <c r="I1946" s="22">
        <v>9550</v>
      </c>
      <c r="J1946" s="22">
        <v>7214</v>
      </c>
      <c r="K1946" s="218">
        <f t="shared" si="167"/>
        <v>75.539267015706798</v>
      </c>
      <c r="L1946" s="278"/>
      <c r="M1946" s="284"/>
      <c r="N1946" s="22"/>
      <c r="O1946" s="218"/>
      <c r="P1946" s="278"/>
      <c r="Q1946" s="284">
        <f t="shared" si="169"/>
        <v>9550</v>
      </c>
      <c r="R1946" s="22">
        <f t="shared" si="169"/>
        <v>7214</v>
      </c>
      <c r="S1946" s="219">
        <f t="shared" si="170"/>
        <v>75.539267015706798</v>
      </c>
    </row>
    <row r="1947" spans="2:19" x14ac:dyDescent="0.2">
      <c r="B1947" s="78">
        <f t="shared" si="166"/>
        <v>18</v>
      </c>
      <c r="C1947" s="7"/>
      <c r="D1947" s="7"/>
      <c r="E1947" s="7"/>
      <c r="F1947" s="24" t="s">
        <v>201</v>
      </c>
      <c r="G1947" s="7">
        <v>630</v>
      </c>
      <c r="H1947" s="7" t="s">
        <v>133</v>
      </c>
      <c r="I1947" s="22">
        <f>SUM(I1948:I1951)</f>
        <v>2900</v>
      </c>
      <c r="J1947" s="22">
        <f>SUM(J1948:J1951)</f>
        <v>2042</v>
      </c>
      <c r="K1947" s="218">
        <f t="shared" si="167"/>
        <v>70.41379310344827</v>
      </c>
      <c r="L1947" s="278"/>
      <c r="M1947" s="284"/>
      <c r="N1947" s="22"/>
      <c r="O1947" s="218"/>
      <c r="P1947" s="278"/>
      <c r="Q1947" s="284">
        <f t="shared" si="169"/>
        <v>2900</v>
      </c>
      <c r="R1947" s="22">
        <f t="shared" si="169"/>
        <v>2042</v>
      </c>
      <c r="S1947" s="219">
        <f t="shared" si="170"/>
        <v>70.41379310344827</v>
      </c>
    </row>
    <row r="1948" spans="2:19" x14ac:dyDescent="0.2">
      <c r="B1948" s="78">
        <f t="shared" si="166"/>
        <v>19</v>
      </c>
      <c r="C1948" s="3"/>
      <c r="D1948" s="3"/>
      <c r="E1948" s="3"/>
      <c r="F1948" s="25" t="s">
        <v>201</v>
      </c>
      <c r="G1948" s="3">
        <v>632</v>
      </c>
      <c r="H1948" s="3" t="s">
        <v>146</v>
      </c>
      <c r="I1948" s="18">
        <v>300</v>
      </c>
      <c r="J1948" s="18">
        <v>300</v>
      </c>
      <c r="K1948" s="218">
        <f t="shared" si="167"/>
        <v>100</v>
      </c>
      <c r="L1948" s="279"/>
      <c r="M1948" s="285"/>
      <c r="N1948" s="18"/>
      <c r="O1948" s="218"/>
      <c r="P1948" s="279"/>
      <c r="Q1948" s="285">
        <f t="shared" si="169"/>
        <v>300</v>
      </c>
      <c r="R1948" s="18">
        <f t="shared" si="169"/>
        <v>300</v>
      </c>
      <c r="S1948" s="219">
        <f t="shared" si="170"/>
        <v>100</v>
      </c>
    </row>
    <row r="1949" spans="2:19" x14ac:dyDescent="0.2">
      <c r="B1949" s="78">
        <f t="shared" si="166"/>
        <v>20</v>
      </c>
      <c r="C1949" s="3"/>
      <c r="D1949" s="3"/>
      <c r="E1949" s="3"/>
      <c r="F1949" s="25" t="s">
        <v>201</v>
      </c>
      <c r="G1949" s="3">
        <v>633</v>
      </c>
      <c r="H1949" s="3" t="s">
        <v>137</v>
      </c>
      <c r="I1949" s="18">
        <v>500</v>
      </c>
      <c r="J1949" s="18">
        <v>495</v>
      </c>
      <c r="K1949" s="218">
        <f t="shared" si="167"/>
        <v>99</v>
      </c>
      <c r="L1949" s="279"/>
      <c r="M1949" s="285"/>
      <c r="N1949" s="18"/>
      <c r="O1949" s="218"/>
      <c r="P1949" s="279"/>
      <c r="Q1949" s="285">
        <f t="shared" si="169"/>
        <v>500</v>
      </c>
      <c r="R1949" s="18">
        <f t="shared" si="169"/>
        <v>495</v>
      </c>
      <c r="S1949" s="219">
        <f t="shared" si="170"/>
        <v>99</v>
      </c>
    </row>
    <row r="1950" spans="2:19" x14ac:dyDescent="0.2">
      <c r="B1950" s="78">
        <f t="shared" si="166"/>
        <v>21</v>
      </c>
      <c r="C1950" s="3"/>
      <c r="D1950" s="3"/>
      <c r="E1950" s="3"/>
      <c r="F1950" s="25" t="s">
        <v>201</v>
      </c>
      <c r="G1950" s="3">
        <v>635</v>
      </c>
      <c r="H1950" s="3" t="s">
        <v>145</v>
      </c>
      <c r="I1950" s="18">
        <v>200</v>
      </c>
      <c r="J1950" s="18">
        <v>0</v>
      </c>
      <c r="K1950" s="218">
        <f t="shared" si="167"/>
        <v>0</v>
      </c>
      <c r="L1950" s="279"/>
      <c r="M1950" s="285"/>
      <c r="N1950" s="18"/>
      <c r="O1950" s="218"/>
      <c r="P1950" s="279"/>
      <c r="Q1950" s="285">
        <f t="shared" si="169"/>
        <v>200</v>
      </c>
      <c r="R1950" s="18">
        <f t="shared" si="169"/>
        <v>0</v>
      </c>
      <c r="S1950" s="219">
        <f t="shared" si="170"/>
        <v>0</v>
      </c>
    </row>
    <row r="1951" spans="2:19" x14ac:dyDescent="0.2">
      <c r="B1951" s="78">
        <f t="shared" si="166"/>
        <v>22</v>
      </c>
      <c r="C1951" s="3"/>
      <c r="D1951" s="3"/>
      <c r="E1951" s="3"/>
      <c r="F1951" s="25" t="s">
        <v>201</v>
      </c>
      <c r="G1951" s="3">
        <v>637</v>
      </c>
      <c r="H1951" s="3" t="s">
        <v>134</v>
      </c>
      <c r="I1951" s="18">
        <v>1900</v>
      </c>
      <c r="J1951" s="18">
        <v>1247</v>
      </c>
      <c r="K1951" s="218">
        <f t="shared" si="167"/>
        <v>65.631578947368425</v>
      </c>
      <c r="L1951" s="279"/>
      <c r="M1951" s="285"/>
      <c r="N1951" s="18"/>
      <c r="O1951" s="218"/>
      <c r="P1951" s="279"/>
      <c r="Q1951" s="285">
        <f t="shared" si="169"/>
        <v>1900</v>
      </c>
      <c r="R1951" s="18">
        <f t="shared" si="169"/>
        <v>1247</v>
      </c>
      <c r="S1951" s="219">
        <f t="shared" si="170"/>
        <v>65.631578947368425</v>
      </c>
    </row>
    <row r="1952" spans="2:19" x14ac:dyDescent="0.2">
      <c r="B1952" s="78">
        <f t="shared" si="166"/>
        <v>23</v>
      </c>
      <c r="C1952" s="7"/>
      <c r="D1952" s="7"/>
      <c r="E1952" s="7"/>
      <c r="F1952" s="24" t="s">
        <v>201</v>
      </c>
      <c r="G1952" s="7">
        <v>710</v>
      </c>
      <c r="H1952" s="7" t="s">
        <v>188</v>
      </c>
      <c r="I1952" s="22"/>
      <c r="J1952" s="22"/>
      <c r="K1952" s="218"/>
      <c r="L1952" s="278"/>
      <c r="M1952" s="284">
        <f>M1953</f>
        <v>3538555</v>
      </c>
      <c r="N1952" s="22">
        <f>N1953</f>
        <v>3123834</v>
      </c>
      <c r="O1952" s="218">
        <f t="shared" si="168"/>
        <v>88.279933475670163</v>
      </c>
      <c r="P1952" s="278"/>
      <c r="Q1952" s="284">
        <f t="shared" si="169"/>
        <v>3538555</v>
      </c>
      <c r="R1952" s="22">
        <f t="shared" si="169"/>
        <v>3123834</v>
      </c>
      <c r="S1952" s="219">
        <f t="shared" si="170"/>
        <v>88.279933475670163</v>
      </c>
    </row>
    <row r="1953" spans="2:19" x14ac:dyDescent="0.2">
      <c r="B1953" s="78">
        <f t="shared" si="166"/>
        <v>24</v>
      </c>
      <c r="C1953" s="3"/>
      <c r="D1953" s="3"/>
      <c r="E1953" s="3"/>
      <c r="F1953" s="25" t="s">
        <v>201</v>
      </c>
      <c r="G1953" s="3">
        <v>712</v>
      </c>
      <c r="H1953" s="3" t="s">
        <v>65</v>
      </c>
      <c r="I1953" s="18"/>
      <c r="J1953" s="18"/>
      <c r="K1953" s="218"/>
      <c r="L1953" s="279"/>
      <c r="M1953" s="285">
        <f>M1954+M1955</f>
        <v>3538555</v>
      </c>
      <c r="N1953" s="18">
        <f>N1954+N1955</f>
        <v>3123834</v>
      </c>
      <c r="O1953" s="218">
        <f t="shared" si="168"/>
        <v>88.279933475670163</v>
      </c>
      <c r="P1953" s="279"/>
      <c r="Q1953" s="285">
        <f t="shared" si="169"/>
        <v>3538555</v>
      </c>
      <c r="R1953" s="18">
        <f t="shared" si="169"/>
        <v>3123834</v>
      </c>
      <c r="S1953" s="219">
        <f t="shared" si="170"/>
        <v>88.279933475670163</v>
      </c>
    </row>
    <row r="1954" spans="2:19" x14ac:dyDescent="0.2">
      <c r="B1954" s="163">
        <f t="shared" si="166"/>
        <v>25</v>
      </c>
      <c r="C1954" s="129"/>
      <c r="D1954" s="129"/>
      <c r="E1954" s="129"/>
      <c r="F1954" s="164"/>
      <c r="G1954" s="129"/>
      <c r="H1954" s="165" t="s">
        <v>374</v>
      </c>
      <c r="I1954" s="166"/>
      <c r="J1954" s="166"/>
      <c r="K1954" s="218"/>
      <c r="L1954" s="421"/>
      <c r="M1954" s="355">
        <v>2353615</v>
      </c>
      <c r="N1954" s="167">
        <f>823760+14+1529840</f>
        <v>2353614</v>
      </c>
      <c r="O1954" s="218">
        <f t="shared" si="168"/>
        <v>99.999957512167441</v>
      </c>
      <c r="P1954" s="280"/>
      <c r="Q1954" s="355">
        <f t="shared" si="169"/>
        <v>2353615</v>
      </c>
      <c r="R1954" s="167">
        <f t="shared" si="169"/>
        <v>2353614</v>
      </c>
      <c r="S1954" s="219">
        <f t="shared" si="170"/>
        <v>99.999957512167441</v>
      </c>
    </row>
    <row r="1955" spans="2:19" ht="13.5" thickBot="1" x14ac:dyDescent="0.25">
      <c r="B1955" s="83">
        <f t="shared" si="166"/>
        <v>26</v>
      </c>
      <c r="C1955" s="89"/>
      <c r="D1955" s="89"/>
      <c r="E1955" s="89"/>
      <c r="F1955" s="90"/>
      <c r="G1955" s="89"/>
      <c r="H1955" s="91" t="s">
        <v>522</v>
      </c>
      <c r="I1955" s="131"/>
      <c r="J1955" s="131"/>
      <c r="K1955" s="269"/>
      <c r="L1955" s="421"/>
      <c r="M1955" s="290">
        <v>1184940</v>
      </c>
      <c r="N1955" s="92">
        <f>10+770210</f>
        <v>770220</v>
      </c>
      <c r="O1955" s="269">
        <f t="shared" si="168"/>
        <v>65.0007595321282</v>
      </c>
      <c r="P1955" s="280"/>
      <c r="Q1955" s="290">
        <f t="shared" ref="Q1955:R1955" si="171">I1955+M1955</f>
        <v>1184940</v>
      </c>
      <c r="R1955" s="92">
        <f t="shared" si="171"/>
        <v>770220</v>
      </c>
      <c r="S1955" s="259">
        <f t="shared" si="170"/>
        <v>65.0007595321282</v>
      </c>
    </row>
  </sheetData>
  <mergeCells count="317">
    <mergeCell ref="B3:Q3"/>
    <mergeCell ref="B4:O4"/>
    <mergeCell ref="Q4:Q8"/>
    <mergeCell ref="R4:R8"/>
    <mergeCell ref="S4:S8"/>
    <mergeCell ref="B5:B8"/>
    <mergeCell ref="C5:C8"/>
    <mergeCell ref="D5:D8"/>
    <mergeCell ref="E5:E8"/>
    <mergeCell ref="F5:F8"/>
    <mergeCell ref="E21:H21"/>
    <mergeCell ref="E24:H24"/>
    <mergeCell ref="D30:H30"/>
    <mergeCell ref="D42:H42"/>
    <mergeCell ref="D50:H50"/>
    <mergeCell ref="D51:H51"/>
    <mergeCell ref="N5:N8"/>
    <mergeCell ref="O5:O8"/>
    <mergeCell ref="C9:H9"/>
    <mergeCell ref="D10:H10"/>
    <mergeCell ref="E11:H11"/>
    <mergeCell ref="E18:H18"/>
    <mergeCell ref="G5:G8"/>
    <mergeCell ref="H5:H8"/>
    <mergeCell ref="I5:I8"/>
    <mergeCell ref="J5:J8"/>
    <mergeCell ref="K5:K8"/>
    <mergeCell ref="M5:M8"/>
    <mergeCell ref="D52:H52"/>
    <mergeCell ref="D53:H53"/>
    <mergeCell ref="D61:H61"/>
    <mergeCell ref="D64:H64"/>
    <mergeCell ref="B69:Q69"/>
    <mergeCell ref="B70:O70"/>
    <mergeCell ref="Q70:Q74"/>
    <mergeCell ref="J71:J74"/>
    <mergeCell ref="K71:K74"/>
    <mergeCell ref="M71:M74"/>
    <mergeCell ref="N71:N74"/>
    <mergeCell ref="O71:O74"/>
    <mergeCell ref="C75:H75"/>
    <mergeCell ref="D76:H76"/>
    <mergeCell ref="D86:H86"/>
    <mergeCell ref="B104:Q104"/>
    <mergeCell ref="R70:R74"/>
    <mergeCell ref="S70:S74"/>
    <mergeCell ref="B71:B74"/>
    <mergeCell ref="C71:C74"/>
    <mergeCell ref="D71:D74"/>
    <mergeCell ref="E71:E74"/>
    <mergeCell ref="F71:F74"/>
    <mergeCell ref="G71:G74"/>
    <mergeCell ref="H71:H74"/>
    <mergeCell ref="I71:I74"/>
    <mergeCell ref="B105:O105"/>
    <mergeCell ref="Q105:Q109"/>
    <mergeCell ref="R105:R109"/>
    <mergeCell ref="S105:S109"/>
    <mergeCell ref="B106:B109"/>
    <mergeCell ref="C106:C109"/>
    <mergeCell ref="D106:D109"/>
    <mergeCell ref="E106:E109"/>
    <mergeCell ref="F106:F109"/>
    <mergeCell ref="G106:G109"/>
    <mergeCell ref="E124:H124"/>
    <mergeCell ref="D130:H130"/>
    <mergeCell ref="D134:H134"/>
    <mergeCell ref="D158:H158"/>
    <mergeCell ref="D177:H177"/>
    <mergeCell ref="D182:H182"/>
    <mergeCell ref="O106:O109"/>
    <mergeCell ref="C110:H110"/>
    <mergeCell ref="D111:H111"/>
    <mergeCell ref="D114:H114"/>
    <mergeCell ref="E115:H115"/>
    <mergeCell ref="E118:H118"/>
    <mergeCell ref="H106:H109"/>
    <mergeCell ref="I106:I109"/>
    <mergeCell ref="J106:J109"/>
    <mergeCell ref="K106:K109"/>
    <mergeCell ref="M106:M109"/>
    <mergeCell ref="N106:N109"/>
    <mergeCell ref="D195:H195"/>
    <mergeCell ref="B207:Q207"/>
    <mergeCell ref="B208:O208"/>
    <mergeCell ref="Q208:Q212"/>
    <mergeCell ref="R208:R212"/>
    <mergeCell ref="S208:S212"/>
    <mergeCell ref="B209:B212"/>
    <mergeCell ref="C209:C212"/>
    <mergeCell ref="D209:D212"/>
    <mergeCell ref="E209:E212"/>
    <mergeCell ref="D230:H230"/>
    <mergeCell ref="D239:H239"/>
    <mergeCell ref="D249:H249"/>
    <mergeCell ref="D260:H260"/>
    <mergeCell ref="D275:H275"/>
    <mergeCell ref="B310:Q310"/>
    <mergeCell ref="M209:M212"/>
    <mergeCell ref="N209:N212"/>
    <mergeCell ref="O209:O212"/>
    <mergeCell ref="C213:H213"/>
    <mergeCell ref="D214:H214"/>
    <mergeCell ref="D219:H219"/>
    <mergeCell ref="F209:F212"/>
    <mergeCell ref="G209:G212"/>
    <mergeCell ref="H209:H212"/>
    <mergeCell ref="I209:I212"/>
    <mergeCell ref="J209:J212"/>
    <mergeCell ref="K209:K212"/>
    <mergeCell ref="B311:O311"/>
    <mergeCell ref="Q311:Q315"/>
    <mergeCell ref="R311:R315"/>
    <mergeCell ref="S311:S315"/>
    <mergeCell ref="B312:B315"/>
    <mergeCell ref="C312:C315"/>
    <mergeCell ref="D312:D315"/>
    <mergeCell ref="E312:E315"/>
    <mergeCell ref="F312:F315"/>
    <mergeCell ref="G312:G315"/>
    <mergeCell ref="O312:O315"/>
    <mergeCell ref="M312:M315"/>
    <mergeCell ref="N312:N315"/>
    <mergeCell ref="C316:H316"/>
    <mergeCell ref="D317:H317"/>
    <mergeCell ref="D338:H338"/>
    <mergeCell ref="D362:H362"/>
    <mergeCell ref="D368:H368"/>
    <mergeCell ref="H312:H315"/>
    <mergeCell ref="I312:I315"/>
    <mergeCell ref="J312:J315"/>
    <mergeCell ref="K312:K315"/>
    <mergeCell ref="D371:H371"/>
    <mergeCell ref="B416:R416"/>
    <mergeCell ref="B417:O417"/>
    <mergeCell ref="Q417:Q421"/>
    <mergeCell ref="R417:R421"/>
    <mergeCell ref="S417:S421"/>
    <mergeCell ref="B418:B421"/>
    <mergeCell ref="C418:C421"/>
    <mergeCell ref="D418:D421"/>
    <mergeCell ref="E418:E421"/>
    <mergeCell ref="M418:M421"/>
    <mergeCell ref="N418:N421"/>
    <mergeCell ref="O418:O421"/>
    <mergeCell ref="C422:H422"/>
    <mergeCell ref="D423:H423"/>
    <mergeCell ref="D427:H427"/>
    <mergeCell ref="F418:F421"/>
    <mergeCell ref="G418:G421"/>
    <mergeCell ref="H418:H421"/>
    <mergeCell ref="I418:I421"/>
    <mergeCell ref="J418:J421"/>
    <mergeCell ref="K418:K421"/>
    <mergeCell ref="E428:H428"/>
    <mergeCell ref="E447:H447"/>
    <mergeCell ref="D457:H457"/>
    <mergeCell ref="B568:Q568"/>
    <mergeCell ref="B569:O569"/>
    <mergeCell ref="Q569:Q573"/>
    <mergeCell ref="J570:J573"/>
    <mergeCell ref="K570:K573"/>
    <mergeCell ref="M570:M573"/>
    <mergeCell ref="N570:N573"/>
    <mergeCell ref="O570:O573"/>
    <mergeCell ref="C574:H574"/>
    <mergeCell ref="D575:H575"/>
    <mergeCell ref="D764:H764"/>
    <mergeCell ref="D971:H971"/>
    <mergeCell ref="D1077:H1077"/>
    <mergeCell ref="R569:R573"/>
    <mergeCell ref="S569:S573"/>
    <mergeCell ref="B570:B573"/>
    <mergeCell ref="C570:C573"/>
    <mergeCell ref="D570:D573"/>
    <mergeCell ref="E570:E573"/>
    <mergeCell ref="F570:F573"/>
    <mergeCell ref="G570:G573"/>
    <mergeCell ref="H570:H573"/>
    <mergeCell ref="I570:I573"/>
    <mergeCell ref="D1326:H1326"/>
    <mergeCell ref="B1360:Q1360"/>
    <mergeCell ref="B1361:O1361"/>
    <mergeCell ref="Q1361:Q1365"/>
    <mergeCell ref="R1361:R1365"/>
    <mergeCell ref="S1361:S1365"/>
    <mergeCell ref="B1362:B1365"/>
    <mergeCell ref="C1362:C1365"/>
    <mergeCell ref="D1362:D1365"/>
    <mergeCell ref="E1362:E1365"/>
    <mergeCell ref="D1392:H1392"/>
    <mergeCell ref="E1393:H1393"/>
    <mergeCell ref="E1397:H1397"/>
    <mergeCell ref="E1405:H1405"/>
    <mergeCell ref="E1423:H1423"/>
    <mergeCell ref="E1443:H1443"/>
    <mergeCell ref="M1362:M1365"/>
    <mergeCell ref="N1362:N1365"/>
    <mergeCell ref="O1362:O1365"/>
    <mergeCell ref="C1366:H1366"/>
    <mergeCell ref="D1367:H1367"/>
    <mergeCell ref="D1371:H1371"/>
    <mergeCell ref="F1362:F1365"/>
    <mergeCell ref="G1362:G1365"/>
    <mergeCell ref="H1362:H1365"/>
    <mergeCell ref="I1362:I1365"/>
    <mergeCell ref="J1362:J1365"/>
    <mergeCell ref="K1362:K1365"/>
    <mergeCell ref="D1453:H1453"/>
    <mergeCell ref="B1507:Q1507"/>
    <mergeCell ref="B1508:O1508"/>
    <mergeCell ref="Q1508:Q1512"/>
    <mergeCell ref="R1508:R1512"/>
    <mergeCell ref="S1508:S1512"/>
    <mergeCell ref="B1509:B1512"/>
    <mergeCell ref="C1509:C1512"/>
    <mergeCell ref="D1509:D1512"/>
    <mergeCell ref="E1509:E1512"/>
    <mergeCell ref="M1509:M1512"/>
    <mergeCell ref="N1509:N1512"/>
    <mergeCell ref="O1509:O1512"/>
    <mergeCell ref="C1513:H1513"/>
    <mergeCell ref="D1514:H1514"/>
    <mergeCell ref="D1536:H1536"/>
    <mergeCell ref="F1509:F1512"/>
    <mergeCell ref="G1509:G1512"/>
    <mergeCell ref="H1509:H1512"/>
    <mergeCell ref="I1509:I1512"/>
    <mergeCell ref="J1509:J1512"/>
    <mergeCell ref="K1509:K1512"/>
    <mergeCell ref="D1541:H1541"/>
    <mergeCell ref="D1557:H1557"/>
    <mergeCell ref="B1606:Q1606"/>
    <mergeCell ref="B1607:O1607"/>
    <mergeCell ref="Q1607:Q1611"/>
    <mergeCell ref="R1607:R1611"/>
    <mergeCell ref="K1608:K1611"/>
    <mergeCell ref="M1608:M1611"/>
    <mergeCell ref="N1608:N1611"/>
    <mergeCell ref="O1608:O1611"/>
    <mergeCell ref="C1612:H1612"/>
    <mergeCell ref="D1613:H1613"/>
    <mergeCell ref="D1653:H1653"/>
    <mergeCell ref="E1654:H1654"/>
    <mergeCell ref="E1668:H1668"/>
    <mergeCell ref="D1674:H1674"/>
    <mergeCell ref="S1607:S1611"/>
    <mergeCell ref="B1608:B1611"/>
    <mergeCell ref="C1608:C1611"/>
    <mergeCell ref="D1608:D1611"/>
    <mergeCell ref="E1608:E1611"/>
    <mergeCell ref="F1608:F1611"/>
    <mergeCell ref="G1608:G1611"/>
    <mergeCell ref="H1608:H1611"/>
    <mergeCell ref="I1608:I1611"/>
    <mergeCell ref="J1608:J1611"/>
    <mergeCell ref="D1699:H1699"/>
    <mergeCell ref="D1703:H1703"/>
    <mergeCell ref="D1710:H1710"/>
    <mergeCell ref="B1762:Q1762"/>
    <mergeCell ref="B1763:O1763"/>
    <mergeCell ref="Q1763:Q1767"/>
    <mergeCell ref="J1764:J1767"/>
    <mergeCell ref="K1764:K1767"/>
    <mergeCell ref="M1764:M1767"/>
    <mergeCell ref="N1764:N1767"/>
    <mergeCell ref="O1764:O1767"/>
    <mergeCell ref="C1768:H1768"/>
    <mergeCell ref="D1769:H1769"/>
    <mergeCell ref="D1779:H1779"/>
    <mergeCell ref="D1783:H1783"/>
    <mergeCell ref="D1801:H1801"/>
    <mergeCell ref="R1763:R1767"/>
    <mergeCell ref="S1763:S1767"/>
    <mergeCell ref="B1764:B1767"/>
    <mergeCell ref="C1764:C1767"/>
    <mergeCell ref="D1764:D1767"/>
    <mergeCell ref="E1764:E1767"/>
    <mergeCell ref="F1764:F1767"/>
    <mergeCell ref="G1764:G1767"/>
    <mergeCell ref="H1764:H1767"/>
    <mergeCell ref="I1764:I1767"/>
    <mergeCell ref="D1857:H1857"/>
    <mergeCell ref="D1879:H1879"/>
    <mergeCell ref="D1892:H1892"/>
    <mergeCell ref="D1895:H1895"/>
    <mergeCell ref="D1900:H1900"/>
    <mergeCell ref="D1909:H1909"/>
    <mergeCell ref="E1802:H1802"/>
    <mergeCell ref="E1815:H1815"/>
    <mergeCell ref="D1825:H1825"/>
    <mergeCell ref="E1826:H1826"/>
    <mergeCell ref="E1836:H1836"/>
    <mergeCell ref="E1848:H1848"/>
    <mergeCell ref="B1924:Q1924"/>
    <mergeCell ref="B1925:O1925"/>
    <mergeCell ref="Q1925:Q1929"/>
    <mergeCell ref="R1925:R1929"/>
    <mergeCell ref="S1925:S1929"/>
    <mergeCell ref="B1926:B1929"/>
    <mergeCell ref="C1926:C1929"/>
    <mergeCell ref="D1926:D1929"/>
    <mergeCell ref="E1926:E1929"/>
    <mergeCell ref="F1926:F1929"/>
    <mergeCell ref="E1944:H1944"/>
    <mergeCell ref="N1926:N1929"/>
    <mergeCell ref="O1926:O1929"/>
    <mergeCell ref="C1930:H1930"/>
    <mergeCell ref="D1931:H1931"/>
    <mergeCell ref="E1932:H1932"/>
    <mergeCell ref="E1943:H1943"/>
    <mergeCell ref="G1926:G1929"/>
    <mergeCell ref="H1926:H1929"/>
    <mergeCell ref="I1926:I1929"/>
    <mergeCell ref="J1926:J1929"/>
    <mergeCell ref="K1926:K1929"/>
    <mergeCell ref="M1926:M1929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P58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38" customWidth="1"/>
    <col min="4" max="4" width="13.7109375" customWidth="1"/>
    <col min="5" max="5" width="13.85546875" style="16" customWidth="1"/>
    <col min="6" max="6" width="14.7109375" style="16" customWidth="1"/>
    <col min="7" max="7" width="7.5703125" style="16" customWidth="1"/>
    <col min="8" max="8" width="13" style="16" customWidth="1"/>
    <col min="9" max="9" width="14.85546875" style="16" customWidth="1"/>
    <col min="10" max="10" width="15.85546875" style="16" customWidth="1"/>
    <col min="11" max="11" width="7.42578125" style="16" customWidth="1"/>
    <col min="12" max="12" width="13.140625" style="16" customWidth="1"/>
    <col min="13" max="13" width="13.85546875" style="16" customWidth="1"/>
    <col min="14" max="14" width="13.7109375" customWidth="1"/>
    <col min="15" max="15" width="7.42578125" customWidth="1"/>
    <col min="16" max="16" width="11" bestFit="1" customWidth="1"/>
  </cols>
  <sheetData>
    <row r="1" spans="2:15" ht="8.25" customHeight="1" thickBot="1" x14ac:dyDescent="0.25"/>
    <row r="2" spans="2:15" s="41" customFormat="1" ht="53.25" customHeight="1" thickBot="1" x14ac:dyDescent="0.25">
      <c r="B2" s="574"/>
      <c r="C2" s="575"/>
      <c r="D2" s="224" t="s">
        <v>710</v>
      </c>
      <c r="E2" s="227" t="s">
        <v>711</v>
      </c>
      <c r="F2" s="225" t="s">
        <v>666</v>
      </c>
      <c r="G2" s="226" t="s">
        <v>660</v>
      </c>
      <c r="H2" s="227" t="s">
        <v>712</v>
      </c>
      <c r="I2" s="227" t="s">
        <v>713</v>
      </c>
      <c r="J2" s="225" t="s">
        <v>667</v>
      </c>
      <c r="K2" s="228" t="s">
        <v>660</v>
      </c>
      <c r="L2" s="224" t="s">
        <v>699</v>
      </c>
      <c r="M2" s="447" t="s">
        <v>698</v>
      </c>
      <c r="N2" s="225" t="s">
        <v>668</v>
      </c>
      <c r="O2" s="375" t="s">
        <v>660</v>
      </c>
    </row>
    <row r="3" spans="2:15" ht="15.75" x14ac:dyDescent="0.25">
      <c r="B3" s="97">
        <v>1</v>
      </c>
      <c r="C3" s="98" t="s">
        <v>415</v>
      </c>
      <c r="D3" s="369">
        <v>42086850</v>
      </c>
      <c r="E3" s="363">
        <f>Príjmy!G542</f>
        <v>42582079</v>
      </c>
      <c r="F3" s="99">
        <f>Príjmy!H542</f>
        <v>43690964</v>
      </c>
      <c r="G3" s="229">
        <f t="shared" ref="G3:G17" si="0">F3/E3*100</f>
        <v>102.60411193168844</v>
      </c>
      <c r="H3" s="363">
        <v>3361785</v>
      </c>
      <c r="I3" s="363">
        <f>Príjmy!G543</f>
        <v>8024464</v>
      </c>
      <c r="J3" s="222">
        <f>Príjmy!H543</f>
        <v>4696116</v>
      </c>
      <c r="K3" s="230">
        <f t="shared" ref="K3:K16" si="1">J3/I3*100</f>
        <v>58.52248823098963</v>
      </c>
      <c r="L3" s="369">
        <f t="shared" ref="L3:L16" si="2">H3+D3</f>
        <v>45448635</v>
      </c>
      <c r="M3" s="448">
        <f t="shared" ref="M3:M16" si="3">I3+E3</f>
        <v>50606543</v>
      </c>
      <c r="N3" s="99">
        <f t="shared" ref="N3:N16" si="4">J3+F3</f>
        <v>48387080</v>
      </c>
      <c r="O3" s="376">
        <f t="shared" ref="O3:O19" si="5">N3/M3*100</f>
        <v>95.614276596605308</v>
      </c>
    </row>
    <row r="4" spans="2:15" ht="15.75" x14ac:dyDescent="0.25">
      <c r="B4" s="100">
        <v>2</v>
      </c>
      <c r="C4" s="42" t="s">
        <v>416</v>
      </c>
      <c r="D4" s="370">
        <f>SUM(D5:D16)</f>
        <v>40098389</v>
      </c>
      <c r="E4" s="364">
        <f>SUM(E5:E16)</f>
        <v>40704974</v>
      </c>
      <c r="F4" s="96">
        <f>SUM(F5:F16)</f>
        <v>38899319</v>
      </c>
      <c r="G4" s="229">
        <f t="shared" si="0"/>
        <v>95.564043352539656</v>
      </c>
      <c r="H4" s="364">
        <f>SUM(H5:H16)</f>
        <v>14161554</v>
      </c>
      <c r="I4" s="364">
        <f>SUM(I5:I16)</f>
        <v>20114349</v>
      </c>
      <c r="J4" s="96">
        <f>SUM(J5:J16)</f>
        <v>13573459</v>
      </c>
      <c r="K4" s="230">
        <f t="shared" si="1"/>
        <v>67.481473051899428</v>
      </c>
      <c r="L4" s="370">
        <f t="shared" si="2"/>
        <v>54259943</v>
      </c>
      <c r="M4" s="449">
        <f t="shared" si="3"/>
        <v>60819323</v>
      </c>
      <c r="N4" s="96">
        <f t="shared" si="4"/>
        <v>52472778</v>
      </c>
      <c r="O4" s="376">
        <f t="shared" si="5"/>
        <v>86.276491436775771</v>
      </c>
    </row>
    <row r="5" spans="2:15" ht="14.25" x14ac:dyDescent="0.2">
      <c r="B5" s="101">
        <v>3</v>
      </c>
      <c r="C5" s="95" t="s">
        <v>405</v>
      </c>
      <c r="D5" s="371">
        <v>546100</v>
      </c>
      <c r="E5" s="365">
        <f>Výdavky!I9</f>
        <v>572353</v>
      </c>
      <c r="F5" s="40">
        <f>Výdavky!J9</f>
        <v>415999</v>
      </c>
      <c r="G5" s="229">
        <f t="shared" si="0"/>
        <v>72.68224330089997</v>
      </c>
      <c r="H5" s="365">
        <v>503910</v>
      </c>
      <c r="I5" s="365">
        <f>Výdavky!M9</f>
        <v>192697</v>
      </c>
      <c r="J5" s="365">
        <f>Výdavky!N9</f>
        <v>13623</v>
      </c>
      <c r="K5" s="230">
        <f t="shared" si="1"/>
        <v>7.0696482041754676</v>
      </c>
      <c r="L5" s="371">
        <f t="shared" si="2"/>
        <v>1050010</v>
      </c>
      <c r="M5" s="450">
        <f t="shared" si="3"/>
        <v>765050</v>
      </c>
      <c r="N5" s="40">
        <f t="shared" si="4"/>
        <v>429622</v>
      </c>
      <c r="O5" s="376">
        <f t="shared" si="5"/>
        <v>56.156068230834592</v>
      </c>
    </row>
    <row r="6" spans="2:15" ht="14.25" x14ac:dyDescent="0.2">
      <c r="B6" s="101">
        <v>4</v>
      </c>
      <c r="C6" s="95" t="s">
        <v>406</v>
      </c>
      <c r="D6" s="371">
        <v>120120</v>
      </c>
      <c r="E6" s="365">
        <f>Výdavky!I75</f>
        <v>131120</v>
      </c>
      <c r="F6" s="403">
        <f>Výdavky!J75</f>
        <v>118599</v>
      </c>
      <c r="G6" s="229">
        <f t="shared" si="0"/>
        <v>90.450732153752284</v>
      </c>
      <c r="H6" s="365">
        <v>0</v>
      </c>
      <c r="I6" s="365">
        <f>Výdavky!M75</f>
        <v>0</v>
      </c>
      <c r="J6" s="365">
        <f>Výdavky!N75</f>
        <v>0</v>
      </c>
      <c r="K6" s="230">
        <v>0</v>
      </c>
      <c r="L6" s="371">
        <f t="shared" si="2"/>
        <v>120120</v>
      </c>
      <c r="M6" s="450">
        <f t="shared" si="3"/>
        <v>131120</v>
      </c>
      <c r="N6" s="40">
        <f t="shared" si="4"/>
        <v>118599</v>
      </c>
      <c r="O6" s="376">
        <f t="shared" si="5"/>
        <v>90.450732153752284</v>
      </c>
    </row>
    <row r="7" spans="2:15" ht="14.25" x14ac:dyDescent="0.2">
      <c r="B7" s="101">
        <v>5</v>
      </c>
      <c r="C7" s="95" t="s">
        <v>407</v>
      </c>
      <c r="D7" s="371">
        <v>4178908</v>
      </c>
      <c r="E7" s="365">
        <f>Výdavky!I110</f>
        <v>4413968</v>
      </c>
      <c r="F7" s="403">
        <f>Výdavky!J110</f>
        <v>4132705</v>
      </c>
      <c r="G7" s="229">
        <f t="shared" si="0"/>
        <v>93.627887651201831</v>
      </c>
      <c r="H7" s="365">
        <v>629512</v>
      </c>
      <c r="I7" s="365">
        <f>Výdavky!M110</f>
        <v>851453</v>
      </c>
      <c r="J7" s="365">
        <f>Výdavky!N110</f>
        <v>765327</v>
      </c>
      <c r="K7" s="230">
        <f t="shared" si="1"/>
        <v>89.884820418743018</v>
      </c>
      <c r="L7" s="371">
        <f t="shared" si="2"/>
        <v>4808420</v>
      </c>
      <c r="M7" s="450">
        <f t="shared" si="3"/>
        <v>5265421</v>
      </c>
      <c r="N7" s="40">
        <f t="shared" si="4"/>
        <v>4898032</v>
      </c>
      <c r="O7" s="376">
        <f t="shared" si="5"/>
        <v>93.022609208266545</v>
      </c>
    </row>
    <row r="8" spans="2:15" ht="14.25" x14ac:dyDescent="0.2">
      <c r="B8" s="101">
        <v>6</v>
      </c>
      <c r="C8" s="95" t="s">
        <v>408</v>
      </c>
      <c r="D8" s="371">
        <v>601020</v>
      </c>
      <c r="E8" s="365">
        <f>Výdavky!I213</f>
        <v>635854</v>
      </c>
      <c r="F8" s="403">
        <f>Výdavky!J213</f>
        <v>561223</v>
      </c>
      <c r="G8" s="229">
        <f t="shared" si="0"/>
        <v>88.262871665508129</v>
      </c>
      <c r="H8" s="365">
        <v>28000</v>
      </c>
      <c r="I8" s="365">
        <f>Výdavky!M213</f>
        <v>18000</v>
      </c>
      <c r="J8" s="365">
        <f>Výdavky!N213</f>
        <v>6457</v>
      </c>
      <c r="K8" s="230">
        <f t="shared" si="1"/>
        <v>35.87222222222222</v>
      </c>
      <c r="L8" s="371">
        <f t="shared" si="2"/>
        <v>629020</v>
      </c>
      <c r="M8" s="450">
        <f t="shared" si="3"/>
        <v>653854</v>
      </c>
      <c r="N8" s="40">
        <f t="shared" si="4"/>
        <v>567680</v>
      </c>
      <c r="O8" s="376">
        <f t="shared" si="5"/>
        <v>86.820605211560988</v>
      </c>
    </row>
    <row r="9" spans="2:15" ht="14.25" x14ac:dyDescent="0.2">
      <c r="B9" s="101">
        <v>7</v>
      </c>
      <c r="C9" s="95" t="s">
        <v>417</v>
      </c>
      <c r="D9" s="371">
        <v>1827505</v>
      </c>
      <c r="E9" s="365">
        <f>Výdavky!I316</f>
        <v>1831905</v>
      </c>
      <c r="F9" s="403">
        <f>Výdavky!J316</f>
        <v>1755545</v>
      </c>
      <c r="G9" s="229">
        <f t="shared" si="0"/>
        <v>95.831661576337197</v>
      </c>
      <c r="H9" s="365">
        <v>88050</v>
      </c>
      <c r="I9" s="365">
        <f>Výdavky!M316</f>
        <v>128293</v>
      </c>
      <c r="J9" s="365">
        <f>Výdavky!N316</f>
        <v>41698</v>
      </c>
      <c r="K9" s="230">
        <f t="shared" si="1"/>
        <v>32.502163017467829</v>
      </c>
      <c r="L9" s="371">
        <f t="shared" si="2"/>
        <v>1915555</v>
      </c>
      <c r="M9" s="450">
        <f t="shared" si="3"/>
        <v>1960198</v>
      </c>
      <c r="N9" s="403">
        <f t="shared" si="4"/>
        <v>1797243</v>
      </c>
      <c r="O9" s="376">
        <f t="shared" si="5"/>
        <v>91.686809189683899</v>
      </c>
    </row>
    <row r="10" spans="2:15" ht="14.25" x14ac:dyDescent="0.2">
      <c r="B10" s="101">
        <v>8</v>
      </c>
      <c r="C10" s="95" t="s">
        <v>409</v>
      </c>
      <c r="D10" s="371">
        <v>4430000</v>
      </c>
      <c r="E10" s="365">
        <f>Výdavky!I422</f>
        <v>4321400</v>
      </c>
      <c r="F10" s="403">
        <f>Výdavky!J422</f>
        <v>3727831</v>
      </c>
      <c r="G10" s="229">
        <f t="shared" si="0"/>
        <v>86.264428194566577</v>
      </c>
      <c r="H10" s="365">
        <v>6381421</v>
      </c>
      <c r="I10" s="365">
        <f>Výdavky!M422</f>
        <v>7400356</v>
      </c>
      <c r="J10" s="365">
        <f>Výdavky!N422</f>
        <v>4174837</v>
      </c>
      <c r="K10" s="230">
        <f t="shared" si="1"/>
        <v>56.414002245297389</v>
      </c>
      <c r="L10" s="371">
        <f t="shared" si="2"/>
        <v>10811421</v>
      </c>
      <c r="M10" s="450">
        <f t="shared" si="3"/>
        <v>11721756</v>
      </c>
      <c r="N10" s="403">
        <f t="shared" si="4"/>
        <v>7902668</v>
      </c>
      <c r="O10" s="376">
        <f t="shared" si="5"/>
        <v>67.418806533765078</v>
      </c>
    </row>
    <row r="11" spans="2:15" ht="14.25" x14ac:dyDescent="0.2">
      <c r="B11" s="101">
        <v>9</v>
      </c>
      <c r="C11" s="95" t="s">
        <v>418</v>
      </c>
      <c r="D11" s="371">
        <v>17874500</v>
      </c>
      <c r="E11" s="365">
        <f>Výdavky!I574</f>
        <v>18212015</v>
      </c>
      <c r="F11" s="403">
        <f>Výdavky!J574</f>
        <v>18198941</v>
      </c>
      <c r="G11" s="229">
        <f t="shared" si="0"/>
        <v>99.92821222692821</v>
      </c>
      <c r="H11" s="365">
        <v>2693665</v>
      </c>
      <c r="I11" s="365">
        <f>Výdavky!M574</f>
        <v>3685444</v>
      </c>
      <c r="J11" s="365">
        <f>Výdavky!N574</f>
        <v>2724841</v>
      </c>
      <c r="K11" s="230">
        <f t="shared" si="1"/>
        <v>73.935216489519306</v>
      </c>
      <c r="L11" s="371">
        <f t="shared" si="2"/>
        <v>20568165</v>
      </c>
      <c r="M11" s="450">
        <f t="shared" si="3"/>
        <v>21897459</v>
      </c>
      <c r="N11" s="403">
        <f t="shared" si="4"/>
        <v>20923782</v>
      </c>
      <c r="O11" s="376">
        <f t="shared" si="5"/>
        <v>95.553470382111456</v>
      </c>
    </row>
    <row r="12" spans="2:15" ht="14.25" x14ac:dyDescent="0.2">
      <c r="B12" s="101">
        <v>10</v>
      </c>
      <c r="C12" s="95" t="s">
        <v>410</v>
      </c>
      <c r="D12" s="371">
        <v>2151541</v>
      </c>
      <c r="E12" s="365">
        <f>Výdavky!I1366</f>
        <v>2272381</v>
      </c>
      <c r="F12" s="403">
        <f>Výdavky!J1366</f>
        <v>2095088</v>
      </c>
      <c r="G12" s="229">
        <f t="shared" si="0"/>
        <v>92.197919274980734</v>
      </c>
      <c r="H12" s="365">
        <v>970495</v>
      </c>
      <c r="I12" s="365">
        <f>Výdavky!M1366</f>
        <v>2971550</v>
      </c>
      <c r="J12" s="365">
        <f>Výdavky!N1366</f>
        <v>1788183</v>
      </c>
      <c r="K12" s="230">
        <f t="shared" si="1"/>
        <v>60.176776429809351</v>
      </c>
      <c r="L12" s="371">
        <f t="shared" si="2"/>
        <v>3122036</v>
      </c>
      <c r="M12" s="450">
        <f t="shared" si="3"/>
        <v>5243931</v>
      </c>
      <c r="N12" s="403">
        <f t="shared" si="4"/>
        <v>3883271</v>
      </c>
      <c r="O12" s="376">
        <f t="shared" si="5"/>
        <v>74.052671554984229</v>
      </c>
    </row>
    <row r="13" spans="2:15" ht="14.25" x14ac:dyDescent="0.2">
      <c r="B13" s="101">
        <v>11</v>
      </c>
      <c r="C13" s="95" t="s">
        <v>411</v>
      </c>
      <c r="D13" s="371">
        <v>504420</v>
      </c>
      <c r="E13" s="365">
        <f>Výdavky!I1513</f>
        <v>551620</v>
      </c>
      <c r="F13" s="403">
        <f>Výdavky!J1513</f>
        <v>497718</v>
      </c>
      <c r="G13" s="229">
        <f t="shared" si="0"/>
        <v>90.228418113919005</v>
      </c>
      <c r="H13" s="365">
        <v>37320</v>
      </c>
      <c r="I13" s="365">
        <f>Výdavky!M1513</f>
        <v>67320</v>
      </c>
      <c r="J13" s="365">
        <f>Výdavky!N1513</f>
        <v>18311</v>
      </c>
      <c r="K13" s="230">
        <f t="shared" si="1"/>
        <v>27.199940582293525</v>
      </c>
      <c r="L13" s="371">
        <f t="shared" si="2"/>
        <v>541740</v>
      </c>
      <c r="M13" s="450">
        <f t="shared" si="3"/>
        <v>618940</v>
      </c>
      <c r="N13" s="403">
        <f t="shared" si="4"/>
        <v>516029</v>
      </c>
      <c r="O13" s="376">
        <f t="shared" si="5"/>
        <v>83.373024848935273</v>
      </c>
    </row>
    <row r="14" spans="2:15" ht="14.25" x14ac:dyDescent="0.2">
      <c r="B14" s="101">
        <v>12</v>
      </c>
      <c r="C14" s="95" t="s">
        <v>412</v>
      </c>
      <c r="D14" s="371">
        <v>4280905</v>
      </c>
      <c r="E14" s="365">
        <f>Výdavky!I1612</f>
        <v>4122905</v>
      </c>
      <c r="F14" s="403">
        <f>Výdavky!J1612</f>
        <v>3901716</v>
      </c>
      <c r="G14" s="229">
        <f t="shared" si="0"/>
        <v>94.635117714330065</v>
      </c>
      <c r="H14" s="365">
        <v>468566</v>
      </c>
      <c r="I14" s="365">
        <f>Výdavky!M1612</f>
        <v>1178161</v>
      </c>
      <c r="J14" s="365">
        <f>Výdavky!N1612</f>
        <v>880706</v>
      </c>
      <c r="K14" s="230">
        <f t="shared" si="1"/>
        <v>74.752601724212568</v>
      </c>
      <c r="L14" s="371">
        <f t="shared" si="2"/>
        <v>4749471</v>
      </c>
      <c r="M14" s="450">
        <f t="shared" si="3"/>
        <v>5301066</v>
      </c>
      <c r="N14" s="40">
        <f t="shared" si="4"/>
        <v>4782422</v>
      </c>
      <c r="O14" s="376">
        <f t="shared" si="5"/>
        <v>90.216231980511083</v>
      </c>
    </row>
    <row r="15" spans="2:15" ht="14.25" x14ac:dyDescent="0.2">
      <c r="B15" s="101">
        <v>13</v>
      </c>
      <c r="C15" s="95" t="s">
        <v>413</v>
      </c>
      <c r="D15" s="371">
        <v>3301320</v>
      </c>
      <c r="E15" s="365">
        <f>Výdavky!I1768</f>
        <v>3357403</v>
      </c>
      <c r="F15" s="403">
        <f>Výdavky!J1768</f>
        <v>3286266</v>
      </c>
      <c r="G15" s="229">
        <f t="shared" si="0"/>
        <v>97.881189717171281</v>
      </c>
      <c r="H15" s="365">
        <v>7000</v>
      </c>
      <c r="I15" s="365">
        <f>Výdavky!M1768</f>
        <v>41520</v>
      </c>
      <c r="J15" s="365">
        <f>Výdavky!N1768</f>
        <v>35126</v>
      </c>
      <c r="K15" s="230">
        <f t="shared" si="1"/>
        <v>84.600192678227359</v>
      </c>
      <c r="L15" s="371">
        <f t="shared" si="2"/>
        <v>3308320</v>
      </c>
      <c r="M15" s="450">
        <f t="shared" si="3"/>
        <v>3398923</v>
      </c>
      <c r="N15" s="40">
        <f t="shared" si="4"/>
        <v>3321392</v>
      </c>
      <c r="O15" s="376">
        <f t="shared" si="5"/>
        <v>97.718953915696233</v>
      </c>
    </row>
    <row r="16" spans="2:15" ht="14.25" x14ac:dyDescent="0.2">
      <c r="B16" s="101">
        <v>14</v>
      </c>
      <c r="C16" s="95" t="s">
        <v>414</v>
      </c>
      <c r="D16" s="371">
        <v>282050</v>
      </c>
      <c r="E16" s="365">
        <f>Výdavky!I1930</f>
        <v>282050</v>
      </c>
      <c r="F16" s="403">
        <f>Výdavky!J1930</f>
        <v>207688</v>
      </c>
      <c r="G16" s="229">
        <f t="shared" si="0"/>
        <v>73.635171068959409</v>
      </c>
      <c r="H16" s="365">
        <v>2353615</v>
      </c>
      <c r="I16" s="365">
        <f>Výdavky!M1930</f>
        <v>3579555</v>
      </c>
      <c r="J16" s="365">
        <f>Výdavky!N1930</f>
        <v>3124350</v>
      </c>
      <c r="K16" s="230">
        <f t="shared" si="1"/>
        <v>87.28319581623974</v>
      </c>
      <c r="L16" s="371">
        <f t="shared" si="2"/>
        <v>2635665</v>
      </c>
      <c r="M16" s="450">
        <f t="shared" si="3"/>
        <v>3861605</v>
      </c>
      <c r="N16" s="40">
        <f t="shared" si="4"/>
        <v>3332038</v>
      </c>
      <c r="O16" s="376">
        <f t="shared" si="5"/>
        <v>86.286349846760615</v>
      </c>
    </row>
    <row r="17" spans="2:16" s="41" customFormat="1" ht="15" x14ac:dyDescent="0.2">
      <c r="B17" s="119">
        <v>15</v>
      </c>
      <c r="C17" s="124" t="s">
        <v>33</v>
      </c>
      <c r="D17" s="372">
        <f>D3-D4</f>
        <v>1988461</v>
      </c>
      <c r="E17" s="367">
        <f>E3-E4</f>
        <v>1877105</v>
      </c>
      <c r="F17" s="121">
        <f>F3-F4</f>
        <v>4791645</v>
      </c>
      <c r="G17" s="229">
        <f t="shared" si="0"/>
        <v>255.26781932816758</v>
      </c>
      <c r="H17" s="366"/>
      <c r="I17" s="366"/>
      <c r="J17" s="120"/>
      <c r="K17" s="455"/>
      <c r="L17" s="373"/>
      <c r="M17" s="446"/>
      <c r="N17" s="120"/>
      <c r="O17" s="376"/>
    </row>
    <row r="18" spans="2:16" s="41" customFormat="1" ht="25.5" x14ac:dyDescent="0.2">
      <c r="B18" s="119">
        <v>16</v>
      </c>
      <c r="C18" s="125" t="s">
        <v>430</v>
      </c>
      <c r="D18" s="373"/>
      <c r="E18" s="366"/>
      <c r="F18" s="120"/>
      <c r="G18" s="453"/>
      <c r="H18" s="367">
        <f>H3-H4</f>
        <v>-10799769</v>
      </c>
      <c r="I18" s="367">
        <f>I3-I4</f>
        <v>-12089885</v>
      </c>
      <c r="J18" s="121">
        <f>J3-J4</f>
        <v>-8877343</v>
      </c>
      <c r="K18" s="455"/>
      <c r="L18" s="373"/>
      <c r="M18" s="446"/>
      <c r="N18" s="120"/>
      <c r="O18" s="376"/>
    </row>
    <row r="19" spans="2:16" s="41" customFormat="1" ht="15.75" thickBot="1" x14ac:dyDescent="0.25">
      <c r="B19" s="122">
        <v>17</v>
      </c>
      <c r="C19" s="126" t="s">
        <v>431</v>
      </c>
      <c r="D19" s="374"/>
      <c r="E19" s="368"/>
      <c r="F19" s="123"/>
      <c r="G19" s="454"/>
      <c r="H19" s="368"/>
      <c r="I19" s="368"/>
      <c r="J19" s="223"/>
      <c r="K19" s="456"/>
      <c r="L19" s="452">
        <f>L3-L4</f>
        <v>-8811308</v>
      </c>
      <c r="M19" s="451">
        <f>M3-M4</f>
        <v>-10212780</v>
      </c>
      <c r="N19" s="377">
        <f>N3-N4</f>
        <v>-4085698</v>
      </c>
      <c r="O19" s="390">
        <f t="shared" si="5"/>
        <v>40.005737908777043</v>
      </c>
    </row>
    <row r="20" spans="2:16" s="151" customFormat="1" ht="14.25" customHeight="1" thickBot="1" x14ac:dyDescent="0.25">
      <c r="E20" s="43"/>
      <c r="F20" s="43"/>
      <c r="G20" s="43"/>
      <c r="H20" s="43"/>
      <c r="I20" s="43"/>
      <c r="J20" s="43"/>
      <c r="K20" s="43"/>
      <c r="L20" s="43"/>
      <c r="M20" s="43"/>
    </row>
    <row r="21" spans="2:16" ht="15.75" thickBot="1" x14ac:dyDescent="0.25">
      <c r="B21" s="582" t="s">
        <v>119</v>
      </c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4"/>
    </row>
    <row r="22" spans="2:16" ht="15.75" x14ac:dyDescent="0.25">
      <c r="B22" s="102">
        <v>1</v>
      </c>
      <c r="C22" s="579" t="s">
        <v>34</v>
      </c>
      <c r="D22" s="580"/>
      <c r="E22" s="581"/>
      <c r="F22" s="581"/>
      <c r="G22" s="581"/>
      <c r="H22" s="581"/>
      <c r="I22" s="581"/>
      <c r="J22" s="232"/>
      <c r="K22" s="232"/>
      <c r="L22" s="462">
        <f>SUM(L23:L43)</f>
        <v>12289008</v>
      </c>
      <c r="M22" s="378">
        <f>SUM(M23:M35)</f>
        <v>13703320</v>
      </c>
      <c r="N22" s="384">
        <f>SUM(N23:N43)</f>
        <v>13798014</v>
      </c>
      <c r="O22" s="385">
        <f>N22/M22*100</f>
        <v>100.69102961909961</v>
      </c>
    </row>
    <row r="23" spans="2:16" x14ac:dyDescent="0.2">
      <c r="B23" s="78">
        <f t="shared" ref="B23:B54" si="6">B22+1</f>
        <v>2</v>
      </c>
      <c r="C23" s="568" t="s">
        <v>348</v>
      </c>
      <c r="D23" s="569"/>
      <c r="E23" s="494"/>
      <c r="F23" s="494"/>
      <c r="G23" s="494"/>
      <c r="H23" s="494"/>
      <c r="I23" s="494"/>
      <c r="J23" s="208"/>
      <c r="K23" s="208"/>
      <c r="L23" s="457">
        <v>5608913</v>
      </c>
      <c r="M23" s="379">
        <f>1900000+1835100+150000+150000+92200+50160+289035+221000+921418+1111465</f>
        <v>6720378</v>
      </c>
      <c r="N23" s="404">
        <v>6720378</v>
      </c>
      <c r="O23" s="229">
        <f t="shared" ref="O23:O51" si="7">N23/M23*100</f>
        <v>100</v>
      </c>
      <c r="P23" s="16"/>
    </row>
    <row r="24" spans="2:16" x14ac:dyDescent="0.2">
      <c r="B24" s="78">
        <f t="shared" si="6"/>
        <v>3</v>
      </c>
      <c r="C24" s="211" t="s">
        <v>694</v>
      </c>
      <c r="D24" s="438"/>
      <c r="E24" s="210"/>
      <c r="F24" s="210"/>
      <c r="G24" s="210"/>
      <c r="H24" s="435"/>
      <c r="I24" s="210"/>
      <c r="J24" s="210"/>
      <c r="K24" s="210"/>
      <c r="L24" s="457"/>
      <c r="M24" s="379">
        <v>0</v>
      </c>
      <c r="N24" s="404">
        <v>3491</v>
      </c>
      <c r="O24" s="229">
        <v>0</v>
      </c>
      <c r="P24" s="16"/>
    </row>
    <row r="25" spans="2:16" x14ac:dyDescent="0.2">
      <c r="B25" s="78">
        <f t="shared" si="6"/>
        <v>4</v>
      </c>
      <c r="C25" s="177" t="s">
        <v>586</v>
      </c>
      <c r="D25" s="438"/>
      <c r="E25" s="176"/>
      <c r="F25" s="208"/>
      <c r="G25" s="208"/>
      <c r="H25" s="435"/>
      <c r="I25" s="176"/>
      <c r="J25" s="208"/>
      <c r="K25" s="208"/>
      <c r="L25" s="457"/>
      <c r="M25" s="379">
        <f>96850+7000</f>
        <v>103850</v>
      </c>
      <c r="N25" s="404">
        <v>103850</v>
      </c>
      <c r="O25" s="229">
        <f t="shared" si="7"/>
        <v>100</v>
      </c>
      <c r="P25" s="16"/>
    </row>
    <row r="26" spans="2:16" x14ac:dyDescent="0.2">
      <c r="B26" s="78">
        <f t="shared" si="6"/>
        <v>5</v>
      </c>
      <c r="C26" s="568" t="s">
        <v>349</v>
      </c>
      <c r="D26" s="569"/>
      <c r="E26" s="573"/>
      <c r="F26" s="573"/>
      <c r="G26" s="573"/>
      <c r="H26" s="573"/>
      <c r="I26" s="573"/>
      <c r="J26" s="442"/>
      <c r="K26" s="442"/>
      <c r="L26" s="457">
        <v>540255</v>
      </c>
      <c r="M26" s="379">
        <f>540255+20036</f>
        <v>560291</v>
      </c>
      <c r="N26" s="404">
        <v>560291</v>
      </c>
      <c r="O26" s="229">
        <f t="shared" si="7"/>
        <v>100</v>
      </c>
    </row>
    <row r="27" spans="2:16" x14ac:dyDescent="0.2">
      <c r="B27" s="78">
        <f t="shared" si="6"/>
        <v>6</v>
      </c>
      <c r="C27" s="568" t="s">
        <v>350</v>
      </c>
      <c r="D27" s="569"/>
      <c r="E27" s="573"/>
      <c r="F27" s="573"/>
      <c r="G27" s="573"/>
      <c r="H27" s="573"/>
      <c r="I27" s="573"/>
      <c r="J27" s="442"/>
      <c r="K27" s="442"/>
      <c r="L27" s="457">
        <v>4210000</v>
      </c>
      <c r="M27" s="379">
        <f>4360000-150000-1000000</f>
        <v>3210000</v>
      </c>
      <c r="N27" s="404">
        <v>3210000</v>
      </c>
      <c r="O27" s="229">
        <f t="shared" si="7"/>
        <v>100</v>
      </c>
    </row>
    <row r="28" spans="2:16" x14ac:dyDescent="0.2">
      <c r="B28" s="78">
        <f t="shared" si="6"/>
        <v>7</v>
      </c>
      <c r="C28" s="568" t="s">
        <v>351</v>
      </c>
      <c r="D28" s="569"/>
      <c r="E28" s="573"/>
      <c r="F28" s="573"/>
      <c r="G28" s="573"/>
      <c r="H28" s="573"/>
      <c r="I28" s="573"/>
      <c r="J28" s="442"/>
      <c r="K28" s="442"/>
      <c r="L28" s="457">
        <v>1529840</v>
      </c>
      <c r="M28" s="379">
        <v>1529840</v>
      </c>
      <c r="N28" s="404">
        <v>1529840</v>
      </c>
      <c r="O28" s="229">
        <f t="shared" si="7"/>
        <v>100</v>
      </c>
    </row>
    <row r="29" spans="2:16" x14ac:dyDescent="0.2">
      <c r="B29" s="78">
        <f t="shared" si="6"/>
        <v>8</v>
      </c>
      <c r="C29" s="568" t="s">
        <v>523</v>
      </c>
      <c r="D29" s="569"/>
      <c r="E29" s="573"/>
      <c r="F29" s="573"/>
      <c r="G29" s="573"/>
      <c r="H29" s="573"/>
      <c r="I29" s="573"/>
      <c r="J29" s="442"/>
      <c r="K29" s="442"/>
      <c r="L29" s="457"/>
      <c r="M29" s="379">
        <v>770210</v>
      </c>
      <c r="N29" s="404">
        <v>770210</v>
      </c>
      <c r="O29" s="229">
        <f t="shared" si="7"/>
        <v>100</v>
      </c>
    </row>
    <row r="30" spans="2:16" x14ac:dyDescent="0.2">
      <c r="B30" s="78">
        <f t="shared" si="6"/>
        <v>9</v>
      </c>
      <c r="C30" s="436" t="s">
        <v>388</v>
      </c>
      <c r="D30" s="438"/>
      <c r="E30" s="442"/>
      <c r="F30" s="442"/>
      <c r="G30" s="442"/>
      <c r="H30" s="442"/>
      <c r="I30" s="442"/>
      <c r="J30" s="442"/>
      <c r="K30" s="442"/>
      <c r="L30" s="457">
        <v>400000</v>
      </c>
      <c r="M30" s="379">
        <v>400000</v>
      </c>
      <c r="N30" s="404">
        <v>216908</v>
      </c>
      <c r="O30" s="229">
        <f t="shared" si="7"/>
        <v>54.227000000000004</v>
      </c>
    </row>
    <row r="31" spans="2:16" x14ac:dyDescent="0.2">
      <c r="B31" s="78">
        <f t="shared" si="6"/>
        <v>10</v>
      </c>
      <c r="C31" s="436" t="s">
        <v>680</v>
      </c>
      <c r="D31" s="438"/>
      <c r="E31" s="442"/>
      <c r="F31" s="442"/>
      <c r="G31" s="442"/>
      <c r="H31" s="442"/>
      <c r="I31" s="442"/>
      <c r="J31" s="442"/>
      <c r="K31" s="442"/>
      <c r="L31" s="457"/>
      <c r="M31" s="379">
        <v>0</v>
      </c>
      <c r="N31" s="404">
        <v>2000</v>
      </c>
      <c r="O31" s="229">
        <v>0</v>
      </c>
    </row>
    <row r="32" spans="2:16" x14ac:dyDescent="0.2">
      <c r="B32" s="78">
        <f t="shared" si="6"/>
        <v>11</v>
      </c>
      <c r="C32" s="436" t="s">
        <v>692</v>
      </c>
      <c r="D32" s="438"/>
      <c r="E32" s="442"/>
      <c r="F32" s="442"/>
      <c r="G32" s="442"/>
      <c r="H32" s="442"/>
      <c r="I32" s="442"/>
      <c r="J32" s="442"/>
      <c r="K32" s="442"/>
      <c r="L32" s="457"/>
      <c r="M32" s="379">
        <v>0</v>
      </c>
      <c r="N32" s="404">
        <v>108900</v>
      </c>
      <c r="O32" s="229">
        <v>0</v>
      </c>
    </row>
    <row r="33" spans="2:16" x14ac:dyDescent="0.2">
      <c r="B33" s="78">
        <f t="shared" si="6"/>
        <v>12</v>
      </c>
      <c r="C33" s="436" t="s">
        <v>683</v>
      </c>
      <c r="D33" s="438"/>
      <c r="E33" s="442"/>
      <c r="F33" s="442"/>
      <c r="G33" s="442"/>
      <c r="H33" s="442"/>
      <c r="I33" s="442"/>
      <c r="J33" s="442"/>
      <c r="K33" s="442"/>
      <c r="L33" s="457"/>
      <c r="M33" s="379">
        <v>2300</v>
      </c>
      <c r="N33" s="404">
        <v>2300</v>
      </c>
      <c r="O33" s="229">
        <v>0</v>
      </c>
    </row>
    <row r="34" spans="2:16" x14ac:dyDescent="0.2">
      <c r="B34" s="78">
        <f t="shared" si="6"/>
        <v>13</v>
      </c>
      <c r="C34" s="436" t="s">
        <v>679</v>
      </c>
      <c r="D34" s="438"/>
      <c r="E34" s="442"/>
      <c r="F34" s="442"/>
      <c r="G34" s="442"/>
      <c r="H34" s="442"/>
      <c r="I34" s="442"/>
      <c r="J34" s="442"/>
      <c r="K34" s="442"/>
      <c r="L34" s="457"/>
      <c r="M34" s="379"/>
      <c r="N34" s="404">
        <v>275</v>
      </c>
      <c r="O34" s="229">
        <v>0</v>
      </c>
    </row>
    <row r="35" spans="2:16" x14ac:dyDescent="0.2">
      <c r="B35" s="78">
        <f t="shared" si="6"/>
        <v>14</v>
      </c>
      <c r="C35" s="436" t="s">
        <v>563</v>
      </c>
      <c r="D35" s="438"/>
      <c r="E35" s="442"/>
      <c r="F35" s="442"/>
      <c r="G35" s="442"/>
      <c r="H35" s="442"/>
      <c r="I35" s="442"/>
      <c r="J35" s="442"/>
      <c r="K35" s="442"/>
      <c r="L35" s="457"/>
      <c r="M35" s="379">
        <v>406451</v>
      </c>
      <c r="N35" s="404">
        <v>406451</v>
      </c>
      <c r="O35" s="229">
        <f t="shared" si="7"/>
        <v>100</v>
      </c>
    </row>
    <row r="36" spans="2:16" x14ac:dyDescent="0.2">
      <c r="B36" s="78">
        <f t="shared" si="6"/>
        <v>15</v>
      </c>
      <c r="C36" s="436" t="s">
        <v>685</v>
      </c>
      <c r="D36" s="438"/>
      <c r="E36" s="442"/>
      <c r="F36" s="442"/>
      <c r="G36" s="442"/>
      <c r="H36" s="442"/>
      <c r="I36" s="442"/>
      <c r="J36" s="442"/>
      <c r="K36" s="442"/>
      <c r="L36" s="457"/>
      <c r="M36" s="379">
        <v>0</v>
      </c>
      <c r="N36" s="404">
        <v>59053</v>
      </c>
      <c r="O36" s="229">
        <v>0</v>
      </c>
    </row>
    <row r="37" spans="2:16" x14ac:dyDescent="0.2">
      <c r="B37" s="78">
        <f t="shared" si="6"/>
        <v>16</v>
      </c>
      <c r="C37" s="436" t="s">
        <v>684</v>
      </c>
      <c r="D37" s="438"/>
      <c r="E37" s="442"/>
      <c r="F37" s="442"/>
      <c r="G37" s="442"/>
      <c r="H37" s="442"/>
      <c r="I37" s="442"/>
      <c r="J37" s="442"/>
      <c r="K37" s="442"/>
      <c r="L37" s="457"/>
      <c r="M37" s="379">
        <v>0</v>
      </c>
      <c r="N37" s="404">
        <v>14919</v>
      </c>
      <c r="O37" s="229">
        <v>0</v>
      </c>
    </row>
    <row r="38" spans="2:16" x14ac:dyDescent="0.2">
      <c r="B38" s="78">
        <f t="shared" si="6"/>
        <v>17</v>
      </c>
      <c r="C38" s="436" t="s">
        <v>686</v>
      </c>
      <c r="D38" s="438"/>
      <c r="E38" s="442"/>
      <c r="F38" s="442"/>
      <c r="G38" s="442"/>
      <c r="H38" s="442"/>
      <c r="I38" s="442"/>
      <c r="J38" s="442"/>
      <c r="K38" s="442"/>
      <c r="L38" s="457"/>
      <c r="M38" s="379">
        <v>0</v>
      </c>
      <c r="N38" s="404">
        <v>19075</v>
      </c>
      <c r="O38" s="229">
        <v>0</v>
      </c>
    </row>
    <row r="39" spans="2:16" x14ac:dyDescent="0.2">
      <c r="B39" s="78">
        <f t="shared" si="6"/>
        <v>18</v>
      </c>
      <c r="C39" s="436" t="s">
        <v>687</v>
      </c>
      <c r="D39" s="438"/>
      <c r="E39" s="442"/>
      <c r="F39" s="442"/>
      <c r="G39" s="442"/>
      <c r="H39" s="442"/>
      <c r="I39" s="442"/>
      <c r="J39" s="442"/>
      <c r="K39" s="442"/>
      <c r="L39" s="457"/>
      <c r="M39" s="379">
        <v>0</v>
      </c>
      <c r="N39" s="404">
        <v>9025</v>
      </c>
      <c r="O39" s="229">
        <v>0</v>
      </c>
    </row>
    <row r="40" spans="2:16" x14ac:dyDescent="0.2">
      <c r="B40" s="78">
        <f>B39+1</f>
        <v>19</v>
      </c>
      <c r="C40" s="436" t="s">
        <v>688</v>
      </c>
      <c r="D40" s="438"/>
      <c r="E40" s="442"/>
      <c r="F40" s="442"/>
      <c r="G40" s="442"/>
      <c r="H40" s="442"/>
      <c r="I40" s="442"/>
      <c r="J40" s="442"/>
      <c r="K40" s="442"/>
      <c r="L40" s="457"/>
      <c r="M40" s="379">
        <v>0</v>
      </c>
      <c r="N40" s="404">
        <v>13163</v>
      </c>
      <c r="O40" s="229">
        <v>0</v>
      </c>
    </row>
    <row r="41" spans="2:16" x14ac:dyDescent="0.2">
      <c r="B41" s="78">
        <f t="shared" si="6"/>
        <v>20</v>
      </c>
      <c r="C41" s="436" t="s">
        <v>689</v>
      </c>
      <c r="D41" s="438"/>
      <c r="E41" s="442"/>
      <c r="F41" s="442"/>
      <c r="G41" s="442"/>
      <c r="H41" s="442"/>
      <c r="I41" s="442"/>
      <c r="J41" s="442"/>
      <c r="K41" s="442"/>
      <c r="L41" s="457"/>
      <c r="M41" s="379">
        <v>0</v>
      </c>
      <c r="N41" s="404">
        <v>6192</v>
      </c>
      <c r="O41" s="229">
        <v>0</v>
      </c>
    </row>
    <row r="42" spans="2:16" x14ac:dyDescent="0.2">
      <c r="B42" s="78">
        <f t="shared" si="6"/>
        <v>21</v>
      </c>
      <c r="C42" s="436" t="s">
        <v>690</v>
      </c>
      <c r="D42" s="438"/>
      <c r="E42" s="442"/>
      <c r="F42" s="442"/>
      <c r="G42" s="442"/>
      <c r="H42" s="442"/>
      <c r="I42" s="442"/>
      <c r="J42" s="442"/>
      <c r="K42" s="442"/>
      <c r="L42" s="457"/>
      <c r="M42" s="379">
        <v>0</v>
      </c>
      <c r="N42" s="386">
        <v>19399</v>
      </c>
      <c r="O42" s="229">
        <v>0</v>
      </c>
    </row>
    <row r="43" spans="2:16" x14ac:dyDescent="0.2">
      <c r="B43" s="78">
        <f t="shared" si="6"/>
        <v>22</v>
      </c>
      <c r="C43" s="436" t="s">
        <v>691</v>
      </c>
      <c r="D43" s="438"/>
      <c r="E43" s="442"/>
      <c r="F43" s="442"/>
      <c r="G43" s="442"/>
      <c r="H43" s="442"/>
      <c r="I43" s="442"/>
      <c r="J43" s="442"/>
      <c r="K43" s="442"/>
      <c r="L43" s="457"/>
      <c r="M43" s="379">
        <v>0</v>
      </c>
      <c r="N43" s="386">
        <v>22294</v>
      </c>
      <c r="O43" s="229">
        <v>0</v>
      </c>
    </row>
    <row r="44" spans="2:16" ht="15.75" x14ac:dyDescent="0.25">
      <c r="B44" s="78">
        <f t="shared" si="6"/>
        <v>23</v>
      </c>
      <c r="C44" s="576" t="s">
        <v>35</v>
      </c>
      <c r="D44" s="577"/>
      <c r="E44" s="578"/>
      <c r="F44" s="578"/>
      <c r="G44" s="578"/>
      <c r="H44" s="578"/>
      <c r="I44" s="578"/>
      <c r="J44" s="233"/>
      <c r="K44" s="233"/>
      <c r="L44" s="461">
        <f>SUM(L45:L53)</f>
        <v>3477700</v>
      </c>
      <c r="M44" s="380">
        <f>SUM(M45:M51)</f>
        <v>3490540</v>
      </c>
      <c r="N44" s="387">
        <f>SUM(N45:N53)</f>
        <v>3275755</v>
      </c>
      <c r="O44" s="229">
        <f t="shared" si="7"/>
        <v>93.846654099365708</v>
      </c>
    </row>
    <row r="45" spans="2:16" x14ac:dyDescent="0.2">
      <c r="B45" s="78">
        <f t="shared" si="6"/>
        <v>24</v>
      </c>
      <c r="C45" s="568" t="s">
        <v>419</v>
      </c>
      <c r="D45" s="569"/>
      <c r="E45" s="494"/>
      <c r="F45" s="494"/>
      <c r="G45" s="494"/>
      <c r="H45" s="494"/>
      <c r="I45" s="494"/>
      <c r="J45" s="208"/>
      <c r="K45" s="208"/>
      <c r="L45" s="457">
        <v>1883000</v>
      </c>
      <c r="M45" s="379">
        <v>1883000</v>
      </c>
      <c r="N45" s="386">
        <v>1882390</v>
      </c>
      <c r="O45" s="229">
        <f t="shared" si="7"/>
        <v>99.967604885820506</v>
      </c>
    </row>
    <row r="46" spans="2:16" x14ac:dyDescent="0.2">
      <c r="B46" s="78">
        <f t="shared" si="6"/>
        <v>25</v>
      </c>
      <c r="C46" s="568" t="s">
        <v>420</v>
      </c>
      <c r="D46" s="569"/>
      <c r="E46" s="494"/>
      <c r="F46" s="494"/>
      <c r="G46" s="494"/>
      <c r="H46" s="494"/>
      <c r="I46" s="494"/>
      <c r="J46" s="208"/>
      <c r="K46" s="208"/>
      <c r="L46" s="457">
        <v>925000</v>
      </c>
      <c r="M46" s="379">
        <v>925000</v>
      </c>
      <c r="N46" s="386">
        <v>924460</v>
      </c>
      <c r="O46" s="229">
        <f t="shared" si="7"/>
        <v>99.941621621621621</v>
      </c>
      <c r="P46" s="16"/>
    </row>
    <row r="47" spans="2:16" x14ac:dyDescent="0.2">
      <c r="B47" s="78">
        <f t="shared" si="6"/>
        <v>26</v>
      </c>
      <c r="C47" s="568" t="s">
        <v>709</v>
      </c>
      <c r="D47" s="569"/>
      <c r="E47" s="494"/>
      <c r="F47" s="494"/>
      <c r="G47" s="494"/>
      <c r="H47" s="494"/>
      <c r="I47" s="494"/>
      <c r="J47" s="208"/>
      <c r="K47" s="208"/>
      <c r="L47" s="457">
        <v>184700</v>
      </c>
      <c r="M47" s="379">
        <f>58700+126000</f>
        <v>184700</v>
      </c>
      <c r="N47" s="386">
        <f>58677+125989</f>
        <v>184666</v>
      </c>
      <c r="O47" s="229">
        <f t="shared" si="7"/>
        <v>99.981591770438555</v>
      </c>
      <c r="P47" s="16"/>
    </row>
    <row r="48" spans="2:16" x14ac:dyDescent="0.2">
      <c r="B48" s="78">
        <f t="shared" si="6"/>
        <v>27</v>
      </c>
      <c r="C48" s="568" t="s">
        <v>421</v>
      </c>
      <c r="D48" s="569"/>
      <c r="E48" s="494"/>
      <c r="F48" s="494"/>
      <c r="G48" s="494"/>
      <c r="H48" s="494"/>
      <c r="I48" s="494"/>
      <c r="J48" s="208"/>
      <c r="K48" s="208"/>
      <c r="L48" s="457">
        <v>25000</v>
      </c>
      <c r="M48" s="379">
        <v>25000</v>
      </c>
      <c r="N48" s="386">
        <v>25000</v>
      </c>
      <c r="O48" s="229">
        <f t="shared" si="7"/>
        <v>100</v>
      </c>
    </row>
    <row r="49" spans="2:15" x14ac:dyDescent="0.2">
      <c r="B49" s="78">
        <f t="shared" si="6"/>
        <v>28</v>
      </c>
      <c r="C49" s="568" t="s">
        <v>525</v>
      </c>
      <c r="D49" s="569"/>
      <c r="E49" s="494"/>
      <c r="F49" s="494"/>
      <c r="G49" s="494"/>
      <c r="H49" s="494"/>
      <c r="I49" s="494"/>
      <c r="J49" s="208"/>
      <c r="K49" s="208"/>
      <c r="L49" s="457">
        <v>60000</v>
      </c>
      <c r="M49" s="379">
        <v>60000</v>
      </c>
      <c r="N49" s="386">
        <f>1447+25885</f>
        <v>27332</v>
      </c>
      <c r="O49" s="229">
        <f t="shared" si="7"/>
        <v>45.553333333333335</v>
      </c>
    </row>
    <row r="50" spans="2:15" x14ac:dyDescent="0.2">
      <c r="B50" s="78">
        <f t="shared" si="6"/>
        <v>29</v>
      </c>
      <c r="C50" s="568" t="s">
        <v>524</v>
      </c>
      <c r="D50" s="569"/>
      <c r="E50" s="494"/>
      <c r="F50" s="494"/>
      <c r="G50" s="494"/>
      <c r="H50" s="494"/>
      <c r="I50" s="494"/>
      <c r="J50" s="209"/>
      <c r="K50" s="209"/>
      <c r="L50" s="458"/>
      <c r="M50" s="381">
        <v>12840</v>
      </c>
      <c r="N50" s="388">
        <v>2007</v>
      </c>
      <c r="O50" s="229">
        <f t="shared" si="7"/>
        <v>15.630841121495326</v>
      </c>
    </row>
    <row r="51" spans="2:15" x14ac:dyDescent="0.2">
      <c r="B51" s="78">
        <f t="shared" si="6"/>
        <v>30</v>
      </c>
      <c r="C51" s="55" t="s">
        <v>389</v>
      </c>
      <c r="D51" s="439"/>
      <c r="E51" s="56"/>
      <c r="F51" s="209"/>
      <c r="G51" s="209"/>
      <c r="H51" s="209"/>
      <c r="I51" s="56"/>
      <c r="J51" s="209"/>
      <c r="K51" s="209"/>
      <c r="L51" s="458">
        <v>400000</v>
      </c>
      <c r="M51" s="382">
        <v>400000</v>
      </c>
      <c r="N51" s="443">
        <v>127300</v>
      </c>
      <c r="O51" s="229">
        <f t="shared" si="7"/>
        <v>31.824999999999999</v>
      </c>
    </row>
    <row r="52" spans="2:15" x14ac:dyDescent="0.2">
      <c r="B52" s="78">
        <f t="shared" si="6"/>
        <v>31</v>
      </c>
      <c r="C52" s="357" t="s">
        <v>693</v>
      </c>
      <c r="D52" s="440"/>
      <c r="E52" s="358"/>
      <c r="F52" s="358"/>
      <c r="G52" s="358"/>
      <c r="H52" s="358"/>
      <c r="I52" s="358"/>
      <c r="J52" s="358"/>
      <c r="K52" s="358"/>
      <c r="L52" s="459"/>
      <c r="M52" s="383">
        <v>0</v>
      </c>
      <c r="N52" s="444">
        <v>2000</v>
      </c>
      <c r="O52" s="399">
        <v>0</v>
      </c>
    </row>
    <row r="53" spans="2:15" ht="13.5" thickBot="1" x14ac:dyDescent="0.25">
      <c r="B53" s="78">
        <f t="shared" si="6"/>
        <v>32</v>
      </c>
      <c r="C53" s="400" t="s">
        <v>696</v>
      </c>
      <c r="D53" s="441"/>
      <c r="E53" s="401"/>
      <c r="F53" s="401"/>
      <c r="G53" s="401"/>
      <c r="H53" s="401"/>
      <c r="I53" s="401"/>
      <c r="J53" s="401"/>
      <c r="K53" s="401"/>
      <c r="L53" s="460"/>
      <c r="M53" s="402">
        <v>0</v>
      </c>
      <c r="N53" s="445">
        <v>100600</v>
      </c>
      <c r="O53" s="399">
        <v>0</v>
      </c>
    </row>
    <row r="54" spans="2:15" ht="17.25" thickTop="1" thickBot="1" x14ac:dyDescent="0.3">
      <c r="B54" s="78">
        <f t="shared" si="6"/>
        <v>33</v>
      </c>
      <c r="C54" s="570" t="s">
        <v>36</v>
      </c>
      <c r="D54" s="571"/>
      <c r="E54" s="572"/>
      <c r="F54" s="572"/>
      <c r="G54" s="572"/>
      <c r="H54" s="572"/>
      <c r="I54" s="572"/>
      <c r="J54" s="231"/>
      <c r="K54" s="231"/>
      <c r="L54" s="463">
        <f>L19+L22-L44</f>
        <v>0</v>
      </c>
      <c r="M54" s="437">
        <f>M3-M4+M22-M44</f>
        <v>0</v>
      </c>
      <c r="N54" s="389">
        <f>N3-N4+N22-N44</f>
        <v>6436561</v>
      </c>
      <c r="O54" s="390"/>
    </row>
    <row r="56" spans="2:15" ht="27.75" customHeight="1" x14ac:dyDescent="0.2">
      <c r="B56" s="566" t="s">
        <v>489</v>
      </c>
      <c r="C56" s="566"/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</row>
    <row r="57" spans="2:15" ht="30" customHeight="1" x14ac:dyDescent="0.2">
      <c r="B57" s="567" t="s">
        <v>496</v>
      </c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</row>
    <row r="58" spans="2:15" ht="42.75" customHeight="1" x14ac:dyDescent="0.2">
      <c r="C58" s="143"/>
      <c r="D58" s="143"/>
      <c r="E58" s="143"/>
      <c r="F58" s="143"/>
      <c r="G58" s="143"/>
      <c r="H58" s="143"/>
      <c r="I58" s="144"/>
      <c r="J58" s="144"/>
      <c r="K58" s="144"/>
      <c r="L58" s="144"/>
      <c r="M58"/>
    </row>
  </sheetData>
  <mergeCells count="18">
    <mergeCell ref="B2:C2"/>
    <mergeCell ref="C28:I28"/>
    <mergeCell ref="C44:I44"/>
    <mergeCell ref="C22:I22"/>
    <mergeCell ref="C23:I23"/>
    <mergeCell ref="B21:O21"/>
    <mergeCell ref="C29:I29"/>
    <mergeCell ref="C45:I45"/>
    <mergeCell ref="C26:I26"/>
    <mergeCell ref="C27:I27"/>
    <mergeCell ref="C46:I46"/>
    <mergeCell ref="C47:I47"/>
    <mergeCell ref="B56:O56"/>
    <mergeCell ref="B57:O57"/>
    <mergeCell ref="C48:I48"/>
    <mergeCell ref="C49:I49"/>
    <mergeCell ref="C54:I54"/>
    <mergeCell ref="C50:I50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2019-05-09T07:30:45Z</cp:lastPrinted>
  <dcterms:created xsi:type="dcterms:W3CDTF">2014-05-27T11:25:41Z</dcterms:created>
  <dcterms:modified xsi:type="dcterms:W3CDTF">2019-05-13T08:19:24Z</dcterms:modified>
</cp:coreProperties>
</file>