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áverečný účet za rok 2018\"/>
    </mc:Choice>
  </mc:AlternateContent>
  <bookViews>
    <workbookView xWindow="0" yWindow="0" windowWidth="7470" windowHeight="7545"/>
  </bookViews>
  <sheets>
    <sheet name="Súvahy" sheetId="1" r:id="rId1"/>
    <sheet name="MHSL" sheetId="2" r:id="rId2"/>
    <sheet name="SSMT" sheetId="3" r:id="rId3"/>
    <sheet name="ŠZMT" sheetId="4" r:id="rId4"/>
    <sheet name="Materské_školy" sheetId="5" r:id="rId5"/>
    <sheet name="Základné_školy" sheetId="6" r:id="rId6"/>
    <sheet name="Bežné_dotácie" sheetId="7" r:id="rId7"/>
    <sheet name="Kapitálové_dotácie" sheetId="8" r:id="rId8"/>
    <sheet name="Dotácie_na_šport_1" sheetId="9" r:id="rId9"/>
    <sheet name="Dotácie_na_šport_2" sheetId="10" r:id="rId10"/>
    <sheet name="Dotácie_kultúra" sheetId="11" r:id="rId11"/>
    <sheet name="Dotácie_v_soc_oblasti" sheetId="12" r:id="rId12"/>
    <sheet name="Dotácie_v_oblasti_školstva" sheetId="13" r:id="rId13"/>
    <sheet name="Dotácie_v_oblasti_ŽP" sheetId="14" r:id="rId14"/>
    <sheet name="Pohľadávky" sheetId="15" r:id="rId15"/>
    <sheet name="Prehľad_dlhu" sheetId="16" r:id="rId16"/>
    <sheet name="Vývoj_dlhovej_služby" sheetId="17" r:id="rId17"/>
    <sheet name="BV-funkčná_kl_" sheetId="18" r:id="rId18"/>
    <sheet name="KV-funkčná_kl_" sheetId="19" r:id="rId19"/>
    <sheet name="Výdavky_ek_kl_" sheetId="20" r:id="rId20"/>
    <sheet name="FO_podľa_RK" sheetId="21" r:id="rId21"/>
    <sheet name="Počet_zamest_ZŠ" sheetId="22" r:id="rId22"/>
    <sheet name="Počet_žiakov_a_tried" sheetId="23" r:id="rId23"/>
    <sheet name="Zoznam_org_" sheetId="24" r:id="rId24"/>
    <sheet name="ESA" sheetId="25" r:id="rId25"/>
  </sheets>
  <externalReferences>
    <externalReference r:id="rId26"/>
  </externalReferences>
  <definedNames>
    <definedName name="_xlnm.Print_Area" localSheetId="6">Bežné_dotácie!$C$2:$G$41</definedName>
    <definedName name="_xlnm.Print_Area" localSheetId="17">'BV-funkčná_kl_'!$B$2:$G$52</definedName>
    <definedName name="_xlnm.Print_Area" localSheetId="10">Dotácie_kultúra!$A$1:$D$80</definedName>
    <definedName name="_xlnm.Print_Area" localSheetId="8">Dotácie_na_šport_1!$B$3:$D$42</definedName>
    <definedName name="_xlnm.Print_Area" localSheetId="9">Dotácie_na_šport_2!$B$3:$J$44</definedName>
    <definedName name="_xlnm.Print_Area" localSheetId="12">Dotácie_v_oblasti_školstva!$B$3:$E$26</definedName>
    <definedName name="_xlnm.Print_Area" localSheetId="13">Dotácie_v_oblasti_ŽP!$B$3:$E$12</definedName>
    <definedName name="_xlnm.Print_Area" localSheetId="11">Dotácie_v_soc_oblasti!$B$2:$E$22</definedName>
    <definedName name="_xlnm.Print_Area" localSheetId="20">FO_podľa_RK!$B$2:$F$17</definedName>
    <definedName name="_xlnm.Print_Area" localSheetId="7">Kapitálové_dotácie!$B$2:$F$15</definedName>
    <definedName name="_xlnm.Print_Area" localSheetId="18">'KV-funkčná_kl_'!$B$2:$G$35</definedName>
    <definedName name="_xlnm.Print_Area" localSheetId="4">Materské_školy!$B$2:$J$71</definedName>
    <definedName name="_xlnm.Print_Area" localSheetId="1">MHSL!$B$1:$H$83</definedName>
    <definedName name="_xlnm.Print_Area" localSheetId="21">Počet_zamest_ZŠ!$B$2:$I$23</definedName>
    <definedName name="_xlnm.Print_Area" localSheetId="22">Počet_žiakov_a_tried!$A$2:$R$26</definedName>
    <definedName name="_xlnm.Print_Area" localSheetId="14">Pohľadávky!$B$1:$E$25</definedName>
    <definedName name="_xlnm.Print_Area" localSheetId="15">Prehľad_dlhu!$B$1:$K$67</definedName>
    <definedName name="_xlnm.Print_Area" localSheetId="2">SSMT!$B$2:$G$64</definedName>
    <definedName name="_xlnm.Print_Area" localSheetId="0">Súvahy!$B$3:$L$24</definedName>
    <definedName name="_xlnm.Print_Area" localSheetId="3">ŠZMT!$B$1:$I$32</definedName>
    <definedName name="_xlnm.Print_Area" localSheetId="19">Výdavky_ek_kl_!$B$3:$F$29</definedName>
    <definedName name="_xlnm.Print_Area" localSheetId="16">Vývoj_dlhovej_služby!$B$2:$H$42</definedName>
    <definedName name="_xlnm.Print_Area" localSheetId="5">Základné_školy!$B$3:$I$299</definedName>
    <definedName name="_xlnm.Print_Area" localSheetId="23">Zoznam_org_!$B$2:$D$22</definedName>
  </definedNames>
  <calcPr calcId="152511"/>
</workbook>
</file>

<file path=xl/calcChain.xml><?xml version="1.0" encoding="utf-8"?>
<calcChain xmlns="http://schemas.openxmlformats.org/spreadsheetml/2006/main">
  <c r="G62" i="3" l="1"/>
  <c r="G61" i="3"/>
  <c r="G60" i="3"/>
  <c r="G59" i="3"/>
  <c r="G58" i="3"/>
  <c r="G57" i="3"/>
  <c r="G56" i="3"/>
  <c r="G55" i="3"/>
  <c r="G54" i="3"/>
  <c r="G53" i="3"/>
  <c r="G52" i="3"/>
  <c r="G51" i="3"/>
  <c r="D16" i="25" l="1"/>
  <c r="D15" i="25"/>
  <c r="D14" i="25"/>
  <c r="D13" i="25" s="1"/>
  <c r="D12" i="25"/>
  <c r="D11" i="25"/>
  <c r="D9" i="25"/>
  <c r="D8" i="25"/>
  <c r="D7" i="25"/>
  <c r="D23" i="25"/>
  <c r="D20" i="25"/>
  <c r="D26" i="25" s="1"/>
  <c r="P17" i="23"/>
  <c r="O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H20" i="22"/>
  <c r="G20" i="22"/>
  <c r="F20" i="22"/>
  <c r="E20" i="22"/>
  <c r="D20" i="22"/>
  <c r="C20" i="22"/>
  <c r="I19" i="22"/>
  <c r="I18" i="22"/>
  <c r="I17" i="22"/>
  <c r="I16" i="22"/>
  <c r="I15" i="22"/>
  <c r="I14" i="22"/>
  <c r="I13" i="22"/>
  <c r="I12" i="22"/>
  <c r="I11" i="22"/>
  <c r="I10" i="22"/>
  <c r="I20" i="22" s="1"/>
  <c r="I9" i="22"/>
  <c r="F14" i="21"/>
  <c r="E14" i="21"/>
  <c r="D14" i="21"/>
  <c r="F7" i="21"/>
  <c r="E7" i="21"/>
  <c r="D7" i="21"/>
  <c r="F22" i="20"/>
  <c r="F21" i="20" s="1"/>
  <c r="E22" i="20"/>
  <c r="D22" i="20"/>
  <c r="E21" i="20"/>
  <c r="D21" i="20"/>
  <c r="F10" i="20"/>
  <c r="F7" i="20" s="1"/>
  <c r="E10" i="20"/>
  <c r="E7" i="20" s="1"/>
  <c r="D10" i="20"/>
  <c r="D7" i="20" s="1"/>
  <c r="G33" i="19"/>
  <c r="F33" i="19"/>
  <c r="E33" i="19"/>
  <c r="G27" i="19"/>
  <c r="F27" i="19"/>
  <c r="E27" i="19"/>
  <c r="G23" i="19"/>
  <c r="F23" i="19"/>
  <c r="E23" i="19"/>
  <c r="G18" i="19"/>
  <c r="F18" i="19"/>
  <c r="E18" i="19"/>
  <c r="G15" i="19"/>
  <c r="F15" i="19"/>
  <c r="E15" i="19"/>
  <c r="G12" i="19"/>
  <c r="F12" i="19"/>
  <c r="F7" i="19" s="1"/>
  <c r="E12" i="19"/>
  <c r="G10" i="19"/>
  <c r="F10" i="19"/>
  <c r="E10" i="19"/>
  <c r="G8" i="19"/>
  <c r="F8" i="19"/>
  <c r="E8" i="19"/>
  <c r="E7" i="19" s="1"/>
  <c r="G7" i="19"/>
  <c r="G47" i="18"/>
  <c r="F47" i="18"/>
  <c r="E47" i="18"/>
  <c r="G37" i="18"/>
  <c r="F37" i="18"/>
  <c r="E37" i="18"/>
  <c r="G31" i="18"/>
  <c r="F31" i="18"/>
  <c r="E31" i="18"/>
  <c r="G26" i="18"/>
  <c r="F26" i="18"/>
  <c r="E26" i="18"/>
  <c r="G23" i="18"/>
  <c r="F23" i="18"/>
  <c r="E23" i="18"/>
  <c r="G18" i="18"/>
  <c r="F18" i="18"/>
  <c r="E18" i="18"/>
  <c r="G15" i="18"/>
  <c r="F15" i="18"/>
  <c r="E15" i="18"/>
  <c r="G13" i="18"/>
  <c r="F13" i="18"/>
  <c r="E13" i="18"/>
  <c r="G7" i="18"/>
  <c r="G6" i="18" s="1"/>
  <c r="F7" i="18"/>
  <c r="F6" i="18" s="1"/>
  <c r="E7" i="18"/>
  <c r="E6" i="18"/>
  <c r="H18" i="17"/>
  <c r="F18" i="17"/>
  <c r="E18" i="17"/>
  <c r="D18" i="17"/>
  <c r="G16" i="17"/>
  <c r="G18" i="17" s="1"/>
  <c r="H14" i="17"/>
  <c r="G14" i="17"/>
  <c r="F14" i="17"/>
  <c r="E14" i="17"/>
  <c r="D14" i="17"/>
  <c r="H12" i="17"/>
  <c r="G12" i="17"/>
  <c r="F12" i="17"/>
  <c r="E12" i="17"/>
  <c r="D12" i="17"/>
  <c r="C12" i="17"/>
  <c r="H66" i="16"/>
  <c r="I66" i="16" s="1"/>
  <c r="K66" i="16" s="1"/>
  <c r="H64" i="16"/>
  <c r="I64" i="16" s="1"/>
  <c r="K64" i="16" s="1"/>
  <c r="H62" i="16"/>
  <c r="I62" i="16" s="1"/>
  <c r="K62" i="16" s="1"/>
  <c r="I60" i="16"/>
  <c r="K60" i="16" s="1"/>
  <c r="H60" i="16"/>
  <c r="H58" i="16"/>
  <c r="I58" i="16" s="1"/>
  <c r="K58" i="16" s="1"/>
  <c r="H56" i="16"/>
  <c r="I56" i="16" s="1"/>
  <c r="K56" i="16" s="1"/>
  <c r="H54" i="16"/>
  <c r="I54" i="16" s="1"/>
  <c r="K54" i="16" s="1"/>
  <c r="I52" i="16"/>
  <c r="K52" i="16" s="1"/>
  <c r="H52" i="16"/>
  <c r="H39" i="16"/>
  <c r="I39" i="16" s="1"/>
  <c r="K39" i="16" s="1"/>
  <c r="H37" i="16"/>
  <c r="I37" i="16" s="1"/>
  <c r="K37" i="16" s="1"/>
  <c r="H35" i="16"/>
  <c r="I35" i="16" s="1"/>
  <c r="K35" i="16" s="1"/>
  <c r="I33" i="16"/>
  <c r="K33" i="16" s="1"/>
  <c r="H33" i="16"/>
  <c r="H30" i="16"/>
  <c r="I30" i="16" s="1"/>
  <c r="K30" i="16" s="1"/>
  <c r="H27" i="16"/>
  <c r="I27" i="16" s="1"/>
  <c r="K27" i="16" s="1"/>
  <c r="K24" i="16"/>
  <c r="H21" i="16"/>
  <c r="I21" i="16" s="1"/>
  <c r="K21" i="16" s="1"/>
  <c r="H18" i="16"/>
  <c r="I18" i="16" s="1"/>
  <c r="K18" i="16" s="1"/>
  <c r="E18" i="16"/>
  <c r="F17" i="16"/>
  <c r="H15" i="16"/>
  <c r="I15" i="16" s="1"/>
  <c r="E15" i="16"/>
  <c r="K15" i="16" s="1"/>
  <c r="I12" i="16"/>
  <c r="K12" i="16" s="1"/>
  <c r="I9" i="16"/>
  <c r="K9" i="16" s="1"/>
  <c r="H9" i="16"/>
  <c r="G8" i="16"/>
  <c r="F8" i="16"/>
  <c r="H6" i="16"/>
  <c r="I6" i="16" s="1"/>
  <c r="K6" i="16" s="1"/>
  <c r="D25" i="15"/>
  <c r="E25" i="15" s="1"/>
  <c r="C25" i="15"/>
  <c r="D24" i="15"/>
  <c r="E24" i="15" s="1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12" i="14"/>
  <c r="E22" i="12"/>
  <c r="D80" i="11"/>
  <c r="F15" i="8"/>
  <c r="E15" i="8"/>
  <c r="G21" i="7"/>
  <c r="G41" i="7" s="1"/>
  <c r="F21" i="7"/>
  <c r="G5" i="7"/>
  <c r="F5" i="7"/>
  <c r="F41" i="7" s="1"/>
  <c r="C299" i="6"/>
  <c r="C290" i="6"/>
  <c r="E285" i="6"/>
  <c r="C267" i="6"/>
  <c r="C275" i="6" s="1"/>
  <c r="E262" i="6"/>
  <c r="D251" i="6"/>
  <c r="C251" i="6"/>
  <c r="I251" i="6" s="1"/>
  <c r="I250" i="6"/>
  <c r="F250" i="6"/>
  <c r="H249" i="6"/>
  <c r="G249" i="6"/>
  <c r="F249" i="6"/>
  <c r="E249" i="6"/>
  <c r="D249" i="6"/>
  <c r="C249" i="6"/>
  <c r="I249" i="6" s="1"/>
  <c r="H248" i="6"/>
  <c r="G248" i="6"/>
  <c r="F248" i="6"/>
  <c r="E248" i="6"/>
  <c r="D248" i="6"/>
  <c r="I248" i="6" s="1"/>
  <c r="I247" i="6"/>
  <c r="H246" i="6"/>
  <c r="G246" i="6"/>
  <c r="F246" i="6"/>
  <c r="E246" i="6"/>
  <c r="I246" i="6" s="1"/>
  <c r="D246" i="6"/>
  <c r="C246" i="6"/>
  <c r="D245" i="6"/>
  <c r="I245" i="6" s="1"/>
  <c r="H244" i="6"/>
  <c r="G244" i="6"/>
  <c r="F244" i="6"/>
  <c r="E244" i="6"/>
  <c r="D244" i="6"/>
  <c r="C244" i="6"/>
  <c r="I244" i="6" s="1"/>
  <c r="H243" i="6"/>
  <c r="G243" i="6"/>
  <c r="F243" i="6"/>
  <c r="F241" i="6" s="1"/>
  <c r="E243" i="6"/>
  <c r="I243" i="6" s="1"/>
  <c r="D243" i="6"/>
  <c r="C243" i="6"/>
  <c r="H242" i="6"/>
  <c r="H241" i="6" s="1"/>
  <c r="H252" i="6" s="1"/>
  <c r="G242" i="6"/>
  <c r="F242" i="6"/>
  <c r="E242" i="6"/>
  <c r="E241" i="6" s="1"/>
  <c r="D242" i="6"/>
  <c r="D241" i="6" s="1"/>
  <c r="D252" i="6" s="1"/>
  <c r="C242" i="6"/>
  <c r="G241" i="6"/>
  <c r="C241" i="6"/>
  <c r="H240" i="6"/>
  <c r="G240" i="6"/>
  <c r="F240" i="6"/>
  <c r="E240" i="6"/>
  <c r="D240" i="6"/>
  <c r="C240" i="6"/>
  <c r="I240" i="6" s="1"/>
  <c r="H239" i="6"/>
  <c r="F239" i="6"/>
  <c r="E239" i="6"/>
  <c r="D239" i="6"/>
  <c r="C239" i="6"/>
  <c r="E236" i="6"/>
  <c r="F218" i="6"/>
  <c r="E218" i="6"/>
  <c r="I217" i="6"/>
  <c r="I216" i="6"/>
  <c r="I215" i="6"/>
  <c r="I214" i="6"/>
  <c r="I213" i="6"/>
  <c r="I212" i="6"/>
  <c r="I211" i="6"/>
  <c r="I210" i="6"/>
  <c r="H209" i="6"/>
  <c r="H218" i="6" s="1"/>
  <c r="G209" i="6"/>
  <c r="G218" i="6" s="1"/>
  <c r="F209" i="6"/>
  <c r="E209" i="6"/>
  <c r="D209" i="6"/>
  <c r="D218" i="6" s="1"/>
  <c r="C209" i="6"/>
  <c r="C218" i="6" s="1"/>
  <c r="I208" i="6"/>
  <c r="I207" i="6"/>
  <c r="E204" i="6"/>
  <c r="G193" i="6"/>
  <c r="F193" i="6"/>
  <c r="C193" i="6"/>
  <c r="I192" i="6"/>
  <c r="I191" i="6"/>
  <c r="I190" i="6"/>
  <c r="I189" i="6"/>
  <c r="I188" i="6"/>
  <c r="I187" i="6"/>
  <c r="I186" i="6"/>
  <c r="H185" i="6"/>
  <c r="H193" i="6" s="1"/>
  <c r="G185" i="6"/>
  <c r="F185" i="6"/>
  <c r="E185" i="6"/>
  <c r="E193" i="6" s="1"/>
  <c r="D185" i="6"/>
  <c r="D193" i="6" s="1"/>
  <c r="C185" i="6"/>
  <c r="I184" i="6"/>
  <c r="I183" i="6"/>
  <c r="E180" i="6"/>
  <c r="F158" i="6"/>
  <c r="I157" i="6"/>
  <c r="I156" i="6"/>
  <c r="I154" i="6"/>
  <c r="I153" i="6"/>
  <c r="I152" i="6"/>
  <c r="I151" i="6"/>
  <c r="H150" i="6"/>
  <c r="H158" i="6" s="1"/>
  <c r="G150" i="6"/>
  <c r="G158" i="6" s="1"/>
  <c r="F150" i="6"/>
  <c r="E150" i="6"/>
  <c r="E158" i="6" s="1"/>
  <c r="D150" i="6"/>
  <c r="D158" i="6" s="1"/>
  <c r="C150" i="6"/>
  <c r="I150" i="6" s="1"/>
  <c r="I149" i="6"/>
  <c r="I148" i="6"/>
  <c r="E145" i="6"/>
  <c r="E132" i="6"/>
  <c r="I131" i="6"/>
  <c r="I130" i="6"/>
  <c r="I129" i="6"/>
  <c r="I128" i="6"/>
  <c r="I127" i="6"/>
  <c r="I126" i="6"/>
  <c r="H125" i="6"/>
  <c r="H132" i="6" s="1"/>
  <c r="G125" i="6"/>
  <c r="F125" i="6"/>
  <c r="F132" i="6" s="1"/>
  <c r="E125" i="6"/>
  <c r="D125" i="6"/>
  <c r="D132" i="6" s="1"/>
  <c r="C125" i="6"/>
  <c r="I125" i="6" s="1"/>
  <c r="I124" i="6"/>
  <c r="I123" i="6"/>
  <c r="G123" i="6"/>
  <c r="G239" i="6" s="1"/>
  <c r="G252" i="6" s="1"/>
  <c r="E120" i="6"/>
  <c r="F110" i="6"/>
  <c r="E110" i="6"/>
  <c r="I109" i="6"/>
  <c r="I108" i="6"/>
  <c r="I107" i="6"/>
  <c r="I106" i="6"/>
  <c r="I105" i="6"/>
  <c r="I104" i="6"/>
  <c r="I103" i="6"/>
  <c r="H102" i="6"/>
  <c r="H110" i="6" s="1"/>
  <c r="G102" i="6"/>
  <c r="G110" i="6" s="1"/>
  <c r="F102" i="6"/>
  <c r="E102" i="6"/>
  <c r="D102" i="6"/>
  <c r="D110" i="6" s="1"/>
  <c r="C102" i="6"/>
  <c r="C110" i="6" s="1"/>
  <c r="I110" i="6" s="1"/>
  <c r="I101" i="6"/>
  <c r="I100" i="6"/>
  <c r="E97" i="6"/>
  <c r="F84" i="6"/>
  <c r="E84" i="6"/>
  <c r="I83" i="6"/>
  <c r="I82" i="6"/>
  <c r="I81" i="6"/>
  <c r="I80" i="6"/>
  <c r="I79" i="6"/>
  <c r="I78" i="6"/>
  <c r="I77" i="6"/>
  <c r="I76" i="6"/>
  <c r="H75" i="6"/>
  <c r="H84" i="6" s="1"/>
  <c r="G75" i="6"/>
  <c r="G84" i="6" s="1"/>
  <c r="F75" i="6"/>
  <c r="E75" i="6"/>
  <c r="D75" i="6"/>
  <c r="C75" i="6"/>
  <c r="C84" i="6" s="1"/>
  <c r="I74" i="6"/>
  <c r="I73" i="6"/>
  <c r="E70" i="6"/>
  <c r="F57" i="6"/>
  <c r="I56" i="6"/>
  <c r="I55" i="6"/>
  <c r="I54" i="6"/>
  <c r="I53" i="6"/>
  <c r="I52" i="6"/>
  <c r="I51" i="6"/>
  <c r="I50" i="6"/>
  <c r="I49" i="6"/>
  <c r="I48" i="6"/>
  <c r="I47" i="6"/>
  <c r="H46" i="6"/>
  <c r="H57" i="6" s="1"/>
  <c r="G46" i="6"/>
  <c r="G57" i="6" s="1"/>
  <c r="F46" i="6"/>
  <c r="E46" i="6"/>
  <c r="E57" i="6" s="1"/>
  <c r="D46" i="6"/>
  <c r="D57" i="6" s="1"/>
  <c r="C46" i="6"/>
  <c r="I45" i="6"/>
  <c r="I44" i="6"/>
  <c r="E41" i="6"/>
  <c r="F27" i="6"/>
  <c r="E27" i="6"/>
  <c r="I26" i="6"/>
  <c r="I25" i="6"/>
  <c r="I24" i="6"/>
  <c r="I23" i="6"/>
  <c r="I22" i="6"/>
  <c r="I21" i="6"/>
  <c r="I20" i="6"/>
  <c r="H19" i="6"/>
  <c r="H27" i="6" s="1"/>
  <c r="G19" i="6"/>
  <c r="G27" i="6" s="1"/>
  <c r="F19" i="6"/>
  <c r="E19" i="6"/>
  <c r="D19" i="6"/>
  <c r="D27" i="6" s="1"/>
  <c r="C19" i="6"/>
  <c r="I18" i="6"/>
  <c r="I17" i="6"/>
  <c r="E14" i="6"/>
  <c r="H32" i="4"/>
  <c r="G32" i="4"/>
  <c r="F32" i="4"/>
  <c r="E32" i="4"/>
  <c r="I32" i="4" s="1"/>
  <c r="D32" i="4"/>
  <c r="C32" i="4"/>
  <c r="I31" i="4"/>
  <c r="I30" i="4"/>
  <c r="I28" i="4"/>
  <c r="C28" i="4"/>
  <c r="I27" i="4"/>
  <c r="I26" i="4"/>
  <c r="I25" i="4"/>
  <c r="I24" i="4"/>
  <c r="I23" i="4"/>
  <c r="I22" i="4"/>
  <c r="I21" i="4"/>
  <c r="H20" i="4"/>
  <c r="H29" i="4" s="1"/>
  <c r="G20" i="4"/>
  <c r="G29" i="4" s="1"/>
  <c r="F20" i="4"/>
  <c r="F29" i="4" s="1"/>
  <c r="E20" i="4"/>
  <c r="E29" i="4" s="1"/>
  <c r="D20" i="4"/>
  <c r="D29" i="4" s="1"/>
  <c r="C20" i="4"/>
  <c r="I19" i="4"/>
  <c r="I18" i="4"/>
  <c r="E13" i="4"/>
  <c r="F53" i="3"/>
  <c r="F61" i="3" s="1"/>
  <c r="E53" i="3"/>
  <c r="E61" i="3" s="1"/>
  <c r="D53" i="3"/>
  <c r="D61" i="3" s="1"/>
  <c r="C53" i="3"/>
  <c r="C61" i="3" s="1"/>
  <c r="F40" i="3"/>
  <c r="F48" i="3" s="1"/>
  <c r="E40" i="3"/>
  <c r="E48" i="3" s="1"/>
  <c r="D40" i="3"/>
  <c r="D48" i="3" s="1"/>
  <c r="C40" i="3"/>
  <c r="C48" i="3" s="1"/>
  <c r="E27" i="3"/>
  <c r="E23" i="3"/>
  <c r="E22" i="3"/>
  <c r="E20" i="3"/>
  <c r="E18" i="3"/>
  <c r="E16" i="3"/>
  <c r="E5" i="3" s="1"/>
  <c r="E11" i="3"/>
  <c r="E6" i="3"/>
  <c r="E82" i="2"/>
  <c r="C81" i="2"/>
  <c r="E79" i="2"/>
  <c r="E78" i="2"/>
  <c r="E77" i="2"/>
  <c r="E76" i="2"/>
  <c r="E75" i="2"/>
  <c r="E74" i="2"/>
  <c r="E73" i="2"/>
  <c r="E72" i="2"/>
  <c r="E71" i="2"/>
  <c r="D71" i="2"/>
  <c r="D81" i="2" s="1"/>
  <c r="C71" i="2"/>
  <c r="E70" i="2"/>
  <c r="E69" i="2"/>
  <c r="G64" i="2"/>
  <c r="D64" i="2"/>
  <c r="C64" i="2"/>
  <c r="G54" i="2"/>
  <c r="F54" i="2"/>
  <c r="F64" i="2" s="1"/>
  <c r="E54" i="2"/>
  <c r="E64" i="2" s="1"/>
  <c r="D54" i="2"/>
  <c r="C54" i="2"/>
  <c r="H43" i="2"/>
  <c r="G43" i="2"/>
  <c r="D43" i="2"/>
  <c r="C43" i="2"/>
  <c r="H34" i="2"/>
  <c r="G34" i="2"/>
  <c r="F34" i="2"/>
  <c r="F43" i="2" s="1"/>
  <c r="E34" i="2"/>
  <c r="E43" i="2" s="1"/>
  <c r="D34" i="2"/>
  <c r="C34" i="2"/>
  <c r="H28" i="2"/>
  <c r="G28" i="2"/>
  <c r="D28" i="2"/>
  <c r="C28" i="2"/>
  <c r="H19" i="2"/>
  <c r="G19" i="2"/>
  <c r="F19" i="2"/>
  <c r="F28" i="2" s="1"/>
  <c r="E19" i="2"/>
  <c r="E28" i="2" s="1"/>
  <c r="D19" i="2"/>
  <c r="C19" i="2"/>
  <c r="E4" i="2"/>
  <c r="K24" i="1"/>
  <c r="J24" i="1"/>
  <c r="I24" i="1"/>
  <c r="H24" i="1"/>
  <c r="G24" i="1"/>
  <c r="F24" i="1"/>
  <c r="E24" i="1"/>
  <c r="D24" i="1"/>
  <c r="L24" i="1" s="1"/>
  <c r="L23" i="1"/>
  <c r="L22" i="1"/>
  <c r="L21" i="1"/>
  <c r="L20" i="1"/>
  <c r="L19" i="1"/>
  <c r="L18" i="1"/>
  <c r="L17" i="1"/>
  <c r="L16" i="1"/>
  <c r="L15" i="1"/>
  <c r="K14" i="1"/>
  <c r="J14" i="1"/>
  <c r="I14" i="1"/>
  <c r="H14" i="1"/>
  <c r="G14" i="1"/>
  <c r="F14" i="1"/>
  <c r="E14" i="1"/>
  <c r="L13" i="1"/>
  <c r="L12" i="1"/>
  <c r="E11" i="1"/>
  <c r="D11" i="1"/>
  <c r="L11" i="1" s="1"/>
  <c r="L10" i="1"/>
  <c r="L9" i="1"/>
  <c r="L8" i="1"/>
  <c r="L7" i="1"/>
  <c r="L6" i="1"/>
  <c r="D10" i="25" l="1"/>
  <c r="D6" i="25"/>
  <c r="D18" i="25" s="1"/>
  <c r="D27" i="25" s="1"/>
  <c r="I193" i="6"/>
  <c r="E81" i="2"/>
  <c r="I46" i="6"/>
  <c r="I57" i="6" s="1"/>
  <c r="C57" i="6"/>
  <c r="I239" i="6"/>
  <c r="I20" i="4"/>
  <c r="C27" i="6"/>
  <c r="I27" i="6" s="1"/>
  <c r="I19" i="6"/>
  <c r="D84" i="6"/>
  <c r="I75" i="6"/>
  <c r="I84" i="6" s="1"/>
  <c r="I218" i="6"/>
  <c r="F252" i="6"/>
  <c r="I241" i="6"/>
  <c r="C252" i="6"/>
  <c r="C29" i="4"/>
  <c r="I29" i="4" s="1"/>
  <c r="C158" i="6"/>
  <c r="I158" i="6" s="1"/>
  <c r="I185" i="6"/>
  <c r="I242" i="6"/>
  <c r="D14" i="1"/>
  <c r="L14" i="1" s="1"/>
  <c r="I102" i="6"/>
  <c r="C132" i="6"/>
  <c r="G132" i="6"/>
  <c r="E252" i="6"/>
  <c r="I209" i="6"/>
  <c r="D17" i="25" l="1"/>
  <c r="I252" i="6"/>
  <c r="I132" i="6"/>
</calcChain>
</file>

<file path=xl/sharedStrings.xml><?xml version="1.0" encoding="utf-8"?>
<sst xmlns="http://schemas.openxmlformats.org/spreadsheetml/2006/main" count="1592" uniqueCount="978">
  <si>
    <t>Súvaha Mesta Trenčín a mestských rozpočtových organizácií mesta    k 31.12.2018</t>
  </si>
  <si>
    <t>Ukazovateľ</t>
  </si>
  <si>
    <t>Mesto Trenčín</t>
  </si>
  <si>
    <t>MHSL</t>
  </si>
  <si>
    <t>SSmT</t>
  </si>
  <si>
    <t>ŠZmT</t>
  </si>
  <si>
    <t>MŠ Šafárikova</t>
  </si>
  <si>
    <t>Základné školy</t>
  </si>
  <si>
    <t>Centrum voľného času</t>
  </si>
  <si>
    <t>Základná umelecká škola</t>
  </si>
  <si>
    <t>SPOLU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</si>
  <si>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</si>
  <si>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</si>
  <si>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</si>
  <si>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</si>
  <si>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</si>
  <si>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</si>
  <si>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</si>
  <si>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</si>
  <si>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</si>
  <si>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</si>
  <si>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</si>
  <si>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</si>
  <si>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</si>
  <si>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</si>
  <si>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</si>
  <si>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</si>
  <si>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A K T Í V A  celkom</t>
  </si>
  <si>
    <t>9.</t>
  </si>
  <si>
    <t>Oceňovacie rozdiely</t>
  </si>
  <si>
    <t>10.</t>
  </si>
  <si>
    <t>Výsledok hospodárenia (výnosy - náklady)</t>
  </si>
  <si>
    <t>11.</t>
  </si>
  <si>
    <t>Rezervy</t>
  </si>
  <si>
    <t>12.</t>
  </si>
  <si>
    <t>13.</t>
  </si>
  <si>
    <t>Dlhodobé záväzky</t>
  </si>
  <si>
    <t>14.</t>
  </si>
  <si>
    <t>Krátkodobé záväzky</t>
  </si>
  <si>
    <t>15.</t>
  </si>
  <si>
    <t>Výdavky budúcich období</t>
  </si>
  <si>
    <t>16.</t>
  </si>
  <si>
    <t>Výnosy budúcich období</t>
  </si>
  <si>
    <t>17.</t>
  </si>
  <si>
    <t>Bankové úvery a ostatné prijaté výpomoci</t>
  </si>
  <si>
    <t>P A S Í V A   celkom</t>
  </si>
  <si>
    <t>Príloha č.1</t>
  </si>
  <si>
    <t>Mestské hospodárstvo a správa lesov m.r.o.</t>
  </si>
  <si>
    <t>Bežné a kapitálové  príjmy</t>
  </si>
  <si>
    <t>210: Príjmy z podnikania a vlastníctva majetku</t>
  </si>
  <si>
    <t>222: Pokuty, penále a iné sankcie</t>
  </si>
  <si>
    <t>223 001: Za predaj výrobkov, tovarov a služieb</t>
  </si>
  <si>
    <t>242: Z vkladov</t>
  </si>
  <si>
    <t>292 006: Z náhrad z poistného plnenia</t>
  </si>
  <si>
    <t>292 012: Z dobropisov</t>
  </si>
  <si>
    <t>292 017: Vratky</t>
  </si>
  <si>
    <t>292 027: Iné</t>
  </si>
  <si>
    <t>456 002: Prijaté finančné zábezpeky</t>
  </si>
  <si>
    <t>Výdavky</t>
  </si>
  <si>
    <t>Program 3: Interné služby Podprogram 4: Prevádzka a údržba budov</t>
  </si>
  <si>
    <t>Program 4:  Služby občanom Podprogram 4: Verejné toalety</t>
  </si>
  <si>
    <t>Program 4:  Služby občanom Podprogram 5: Prevádzka mestských trhovísk</t>
  </si>
  <si>
    <t>Program 4:  Služby občanom Podprogram 7:  Miestne média</t>
  </si>
  <si>
    <t>Program 5: Bezpečnosť Podprogram 2: Verejné osvetlenie</t>
  </si>
  <si>
    <t>Program 6: Doprava Podprogram 2: Správa a údržba pozemných komunikácií</t>
  </si>
  <si>
    <t>610: Mzdy, platy, a OOV</t>
  </si>
  <si>
    <t xml:space="preserve">620: Poistné </t>
  </si>
  <si>
    <t>630: Tovary a služby</t>
  </si>
  <si>
    <t>632: Energie, voda, komun.</t>
  </si>
  <si>
    <t>633: Materiál</t>
  </si>
  <si>
    <t>634: Dopravné</t>
  </si>
  <si>
    <t>635: Rutinná a štand.údržba</t>
  </si>
  <si>
    <t>636: Nájomné</t>
  </si>
  <si>
    <t>637: Služby</t>
  </si>
  <si>
    <t>640: Transfery</t>
  </si>
  <si>
    <t>Bežné výdavky spolu</t>
  </si>
  <si>
    <t>Kapitálové výdavky spolu</t>
  </si>
  <si>
    <t>Program 8: Šport a mládež Podprogram 3 Prvok: 3 Zimný štadión</t>
  </si>
  <si>
    <t>Program 8: Šport a mládež Podprogram 3 Prvok 4: Krytá plaváreň</t>
  </si>
  <si>
    <t>Program 8: Šport a mládež Podprogram 3 Prvok 4: Letné kúpalisko</t>
  </si>
  <si>
    <t>Program 8: Šport a mládež Podprogram 4: Mobiliár mesta a detské ihriská</t>
  </si>
  <si>
    <t>Program 8: Šport a mládež Podprogram 3 Prvok 5: Mobilná ľadová plocha</t>
  </si>
  <si>
    <t>Program 9: Kultúra Podprogram 3: Podpora kultúrnych stredísk</t>
  </si>
  <si>
    <t xml:space="preserve">Program 10: Životné prostredie  Podprogram 1: Verejná zeleň </t>
  </si>
  <si>
    <t>Program 10: Životné prostredie Podprogram 1: Verejná zeleň - Brezina</t>
  </si>
  <si>
    <t>Program 10: Životné prostredie Podprogram 1: Verejná zeleň - Soblahov</t>
  </si>
  <si>
    <t>Program 10: Životné prostredie Podprogram 5: Fontány</t>
  </si>
  <si>
    <t>Program 10: Životné prostredie Podprogram 6: Podporná činnosť</t>
  </si>
  <si>
    <t>620: Poistné</t>
  </si>
  <si>
    <t>631: Cestovné náhrady</t>
  </si>
  <si>
    <t>Program 10: Životné prostredie Podprogram 3: Ochrana prostredia pre život</t>
  </si>
  <si>
    <t>Program 11: Sociálne služby Podprogram 5 prvok 3: Kultúrne centrum seniorov</t>
  </si>
  <si>
    <t>Spolu výdavky MHSL m.r.o.</t>
  </si>
  <si>
    <t>819: Výdavkové finančné operácie</t>
  </si>
  <si>
    <t>Príloha č.2</t>
  </si>
  <si>
    <t>Sociálne služby mesta Trenčín m.r.o.</t>
  </si>
  <si>
    <t>Príjmy spolu:</t>
  </si>
  <si>
    <t>Detské jasle</t>
  </si>
  <si>
    <t>223 002: Za jasle</t>
  </si>
  <si>
    <t>223 003: Za stravné detské jasle</t>
  </si>
  <si>
    <t>223 003: Za stravné materská škola</t>
  </si>
  <si>
    <t>223 003: Za stravné zamestnanci</t>
  </si>
  <si>
    <t>Zariadenie opatrovateľskej služby</t>
  </si>
  <si>
    <t>223 001: ZOS 24 hod.starostlivosť</t>
  </si>
  <si>
    <t>223 001: Denný a týždenný pobyt</t>
  </si>
  <si>
    <t>223 001: Celoročný pobyt</t>
  </si>
  <si>
    <t>212 003: Z prenajatých budov, priestorov</t>
  </si>
  <si>
    <t>Opatrovateľská služba</t>
  </si>
  <si>
    <t>223 001: Opatrovateľská služba - staroba,invalitida,rozvoz stravy</t>
  </si>
  <si>
    <t>Prepravná služba</t>
  </si>
  <si>
    <t>223 001 - Prepravná služba</t>
  </si>
  <si>
    <t>Krízové centrum</t>
  </si>
  <si>
    <t>212 003 - Prenájom</t>
  </si>
  <si>
    <t>223 001 - Krízové centrum</t>
  </si>
  <si>
    <t>Zariadenie pre seniorov</t>
  </si>
  <si>
    <t>223 001: Ubytovanie a zaopatrenie</t>
  </si>
  <si>
    <t>223 001: Stravovanie</t>
  </si>
  <si>
    <t>212 003: Príjmy z prenajatých budov, priestorov (ZPS)</t>
  </si>
  <si>
    <t>Ostatné príjmy</t>
  </si>
  <si>
    <t>223 004: Prebytočný materiál</t>
  </si>
  <si>
    <t>292 017: vratky</t>
  </si>
  <si>
    <t>292 012: dobropisy</t>
  </si>
  <si>
    <t>292 019: príjmy z refundácie</t>
  </si>
  <si>
    <t>311: dary</t>
  </si>
  <si>
    <t>312 001: transfer - IA MPSVaR SR</t>
  </si>
  <si>
    <t>453: prostriedky z minulých rokov</t>
  </si>
  <si>
    <t>456: prijaté finančné zábezpeky</t>
  </si>
  <si>
    <t>Program 11: Sociálne služby Podprogram 1: Detské jasle</t>
  </si>
  <si>
    <t>Program 11: Sociálne služby Podprogram 4: Nocľaháreň</t>
  </si>
  <si>
    <t>Program 11: Sociálne služby Podprogram 4: Nízkoprahové denné centrum</t>
  </si>
  <si>
    <t>Program 11: Sociálne služby Podprogram 5 prvok 2:  Zariadenie pre seniorov</t>
  </si>
  <si>
    <t>631: Cestovné</t>
  </si>
  <si>
    <t xml:space="preserve">Bežné výdavky </t>
  </si>
  <si>
    <t>Program 11: Sociálne služby Podprogram 6: Zariadenie opatrovateľskej služby</t>
  </si>
  <si>
    <t>Program 11: Sociálne služby Podprogram 7: Terénna opatrovateľská služba</t>
  </si>
  <si>
    <t>Program 11: Sociálne služby Podprogram 10: Prepravná služba</t>
  </si>
  <si>
    <t>Program 11: Sociálne služby Podprogram 11: Manažment SSMT</t>
  </si>
  <si>
    <t>Spolu</t>
  </si>
  <si>
    <t xml:space="preserve">Kapitálové výdavky </t>
  </si>
  <si>
    <t>Príloha č.3</t>
  </si>
  <si>
    <t>Školské zariadenia mesta Trenčín m.r.o.</t>
  </si>
  <si>
    <t>Príjmy</t>
  </si>
  <si>
    <t>212 003: Príjmy z prenajatých budov, priestorov a objektov</t>
  </si>
  <si>
    <t>223 001: za predaj výrobkov, tovarov a služieb</t>
  </si>
  <si>
    <t>223 002: Poplatky za jasle, MŠ a školské kluby detí</t>
  </si>
  <si>
    <t>223 003: Za stravné</t>
  </si>
  <si>
    <t>292 019: Z refundácie</t>
  </si>
  <si>
    <t>453: Prostriedky z predchádzajúcich rokov</t>
  </si>
  <si>
    <t>Program 7: Vzdelávanie Podprogram 1: Materské školy</t>
  </si>
  <si>
    <t>Program 7: Vzdelávanie Podprogram 2: Základné školy</t>
  </si>
  <si>
    <t>Program 7: Vzdelávanie Podprogram 3:  Voľno časové vzdelávanie</t>
  </si>
  <si>
    <t>Program 7: Vzdelávanie Podprogram 4: Školské jedálne</t>
  </si>
  <si>
    <t>Program 7: Vzdelávanie Podprogram 5: Politika vzdelávania</t>
  </si>
  <si>
    <t>Hmotná núdza</t>
  </si>
  <si>
    <t>713: Nákup strojov, prístrojov...</t>
  </si>
  <si>
    <t>717: Realizácia stavieb</t>
  </si>
  <si>
    <t>Príloha č.4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</si>
  <si>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</si>
  <si>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</si>
  <si>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</si>
  <si>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</si>
  <si>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</si>
  <si>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</si>
  <si>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</si>
  <si>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</si>
  <si>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</si>
  <si>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</si>
  <si>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</si>
  <si>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J.Halašu</t>
  </si>
  <si>
    <t>MŠ Stromova</t>
  </si>
  <si>
    <t>MŠ Opatovská</t>
  </si>
  <si>
    <t>MŠ Kubranská</t>
  </si>
  <si>
    <t>MŠ Medňanského</t>
  </si>
  <si>
    <t>MŠ Pri Parku</t>
  </si>
  <si>
    <t>MŠ Niva</t>
  </si>
  <si>
    <t>MŠ 28. októbra</t>
  </si>
  <si>
    <t>MŠ Na dolinách</t>
  </si>
  <si>
    <t>Nevyč.dot. 2016</t>
  </si>
  <si>
    <t>S P O L U:</t>
  </si>
  <si>
    <t>09.6.0.1 Školské stravovanie v predškolských zariadeniach a základných školách</t>
  </si>
  <si>
    <t>Spolu výdavky materských škôl (predškolská výchova + stravovanie)</t>
  </si>
  <si>
    <t>Základná škola Novomeského</t>
  </si>
  <si>
    <t>Príloha č.5</t>
  </si>
  <si>
    <t>212 003: Z prenajatých budov, priestorov a objektov</t>
  </si>
  <si>
    <t>223 001: Réžia - cudzí stravníci</t>
  </si>
  <si>
    <t>223 002: Za jasle, materské školy a školské kluby detí</t>
  </si>
  <si>
    <t>292 017: Z vratiek</t>
  </si>
  <si>
    <t>311: Granty</t>
  </si>
  <si>
    <t>312: Transfery v rámci verejnej správy</t>
  </si>
  <si>
    <t>09.1.2.1.   Primárne vzdelávanie s bežnou starostlivosťou</t>
  </si>
  <si>
    <t>09.2.1.1. Nižšie sekundárne vzdelávanie všeobecné s bežnou starostlivosťou</t>
  </si>
  <si>
    <t>09.6.0.2. Školské stravovanie I.stupeň</t>
  </si>
  <si>
    <t>09.6.0.3. Školské stravovanie II.stupeň</t>
  </si>
  <si>
    <t>09.5.0. Zar. pre záujmové vzdelávanie</t>
  </si>
  <si>
    <t>10.4.0. Soc.pomoc obč.núdzi</t>
  </si>
  <si>
    <t>Základná škola Kubranská</t>
  </si>
  <si>
    <t>321: Granty</t>
  </si>
  <si>
    <t>713: Nákup strojov...</t>
  </si>
  <si>
    <t>717: Rekonštrukcie</t>
  </si>
  <si>
    <t>Základná škola Na dolinách</t>
  </si>
  <si>
    <t>312 001: Zo štátneho rozpočtu</t>
  </si>
  <si>
    <t>Základná škola Bezruča</t>
  </si>
  <si>
    <t>Základná škola Hodžova</t>
  </si>
  <si>
    <t>636: Prenájom</t>
  </si>
  <si>
    <t>Základná škola Východná</t>
  </si>
  <si>
    <t>292 012: z dobropisov</t>
  </si>
  <si>
    <t>636: Nájom</t>
  </si>
  <si>
    <t>Základná škola Dlhé Hony</t>
  </si>
  <si>
    <t>311: Dary, sponzorské</t>
  </si>
  <si>
    <t>Základná škola Veľkomoravská</t>
  </si>
  <si>
    <t>Základné školy spolu</t>
  </si>
  <si>
    <t>312 011: Tuzemské transfery</t>
  </si>
  <si>
    <t>453: Prostriedky z minulých rokov</t>
  </si>
  <si>
    <t>713: Nákup strojov, prístrojov</t>
  </si>
  <si>
    <t>Základná umelecká škola Karola Pádivého m.r.o.</t>
  </si>
  <si>
    <t>223 002: Za školy a školské zariadenia</t>
  </si>
  <si>
    <t>09.5.0. Zar.pre záujmové vzdelávanie</t>
  </si>
  <si>
    <t>Centrum voľného času m.r.o.</t>
  </si>
  <si>
    <t>223 002: poplatky rodičov za letné tábory</t>
  </si>
  <si>
    <t>312 001: Tuzemské bežné transfery</t>
  </si>
  <si>
    <t>Prijaté bežné dotácie v roku 2018</t>
  </si>
  <si>
    <t>Príloha č.6</t>
  </si>
  <si>
    <t>P.č.</t>
  </si>
  <si>
    <t>Poskytovateľ dotácie</t>
  </si>
  <si>
    <t>Druh dotácie</t>
  </si>
  <si>
    <t>Výška dotácie v EUR</t>
  </si>
  <si>
    <t>Použitie dotácie k 31.12.2018</t>
  </si>
  <si>
    <t>Dotácie na školstvo</t>
  </si>
  <si>
    <t>Okresný úrad Trenčín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</si>
  <si>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</si>
  <si>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</si>
  <si>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</si>
  <si>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</si>
  <si>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</t>
  </si>
  <si>
    <t>Dotácia na príspevok  na žiakov  zo sociálne znevýhodného prostredia</t>
  </si>
  <si>
    <t>Dotácia za mimoriadne výsledky žiakov</t>
  </si>
  <si>
    <t>Dotácia na učebnice</t>
  </si>
  <si>
    <t>Finančné prostriedky na výchovu a vzdelávanie pre materské školy</t>
  </si>
  <si>
    <t>Prenesený výkon štátnej správy - školský úrad</t>
  </si>
  <si>
    <t>Dotácia na školu v prírode</t>
  </si>
  <si>
    <t>Úrad vlády SR</t>
  </si>
  <si>
    <t>Podpora rozvoja športu ZŠ Východná</t>
  </si>
  <si>
    <t>Dotácia na lyžiarsky výcvik</t>
  </si>
  <si>
    <t>Úrad práce, sociálnych vecí a rodiny SR</t>
  </si>
  <si>
    <t>Dotácia na školské potreby pre deti v hmotnej núdzi</t>
  </si>
  <si>
    <t>Dotácia na stravu pre deti v hmotnej núdzi</t>
  </si>
  <si>
    <t>Ostatné dotácie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</si>
  <si>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</si>
  <si>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</si>
  <si>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</si>
  <si>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</si>
  <si>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</si>
  <si>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</si>
  <si>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Dotácia na financovanie soc.služby v zariadení  sociálnych služieb</t>
  </si>
  <si>
    <t>Ministerstvo kultúry SR</t>
  </si>
  <si>
    <t>Dotácia na  ORA ET ARS 2018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</si>
  <si>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</si>
  <si>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</si>
  <si>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</si>
  <si>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</si>
  <si>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Dotácia  - voľby do orgánov samosprávy</t>
  </si>
  <si>
    <t>Prídavky na deti</t>
  </si>
  <si>
    <t>Ministerstvo práce, sociálnych vecí a rodiny SR</t>
  </si>
  <si>
    <t>Dotácia na zamestnancov pracujúcich pre eurofondy SORO</t>
  </si>
  <si>
    <t>Európsky sociálny fond</t>
  </si>
  <si>
    <t>Príspevok na podporu regionálnej a miestnej zamestnanosti</t>
  </si>
  <si>
    <t>Dobrovoľná požiarna ochrana SR</t>
  </si>
  <si>
    <t>Dotácia pre  Dobrovoľný hasičský zbor Trenčín-Opatová</t>
  </si>
  <si>
    <t>Dotácia pre  Dobrovoľný hasičský zbor Trenčín-Záblatie</t>
  </si>
  <si>
    <t>Dotácia na realizáciu projektu Mestské opevnenie</t>
  </si>
  <si>
    <t>Dotácia na realizáciu projektu Súsošie na stĺpe  na Mierovom námestí</t>
  </si>
  <si>
    <t>LEONI Slovakia spol. s r.o.</t>
  </si>
  <si>
    <t>Dar na podujatie Pri Trenčianskej bráne</t>
  </si>
  <si>
    <t xml:space="preserve"> </t>
  </si>
  <si>
    <t>Prijaté kapitálové dotácie v roku 2018</t>
  </si>
  <si>
    <t>Príloha č. 7</t>
  </si>
  <si>
    <t>Ministerstvo dopravy a výstavby SR</t>
  </si>
  <si>
    <t>Na obstaranie 48 b.j. nájomných bytov</t>
  </si>
  <si>
    <t>Slovenský zväz ľadového hokeja</t>
  </si>
  <si>
    <t>Obnova a rekonštrukcia hokejovej infraštruktúry</t>
  </si>
  <si>
    <t>Ministerstvo školstva, vedy, výskumu a športu SR</t>
  </si>
  <si>
    <t>Na rekonštrukciu cvičebného priestoru, strechy a ústredného kúrenia ZŠ Kubranská</t>
  </si>
  <si>
    <t>Ministerstvo životného prostredia SR</t>
  </si>
  <si>
    <t>Obnova MŠ Opatovská</t>
  </si>
  <si>
    <t>Obnova MŠ Kubranská</t>
  </si>
  <si>
    <t>Ministerstvo pôdohospodárstva a rozvoja vidieka SR</t>
  </si>
  <si>
    <t>Cyklotrasa II.etapa</t>
  </si>
  <si>
    <t>Revitalizácia  Parku M.R.Štefánika</t>
  </si>
  <si>
    <t>Ministerstvo práce, soc.vecí a rodiny SR</t>
  </si>
  <si>
    <t>Dotácia na nákup motorového vozidla na rozvoz stravy</t>
  </si>
  <si>
    <t>Nadácia EPH</t>
  </si>
  <si>
    <t>Lávka pri Farskom kostole</t>
  </si>
  <si>
    <t>Trenčianska riviéra s.r.o.</t>
  </si>
  <si>
    <t>Dar Trenčianska riviéra</t>
  </si>
  <si>
    <t>Príloha č.8</t>
  </si>
  <si>
    <t>Dotácie v oblasti športu a mládeže na činnosť v roku 2018</t>
  </si>
  <si>
    <t>Príjemca dotácie činnosť</t>
  </si>
  <si>
    <t>Výška dotácie</t>
  </si>
  <si>
    <t>Laugaricio Trenčín - klub karate Slovakia</t>
  </si>
  <si>
    <t>Klub slovenských turistov Regionálna rada</t>
  </si>
  <si>
    <t>o.z. Dračia Légia Trenčín</t>
  </si>
  <si>
    <t>Vzpieračsky klub KOFI, o.z</t>
  </si>
  <si>
    <t>Laugarici Combat Club</t>
  </si>
  <si>
    <t>ŠK Real Team, o.z. Trenčín</t>
  </si>
  <si>
    <t>Buď lepší o.z.</t>
  </si>
  <si>
    <t>Tenisová klub AS o.z. Trenčín</t>
  </si>
  <si>
    <t>Tanečný Klub Dukla Trenčín</t>
  </si>
  <si>
    <t>Bedmintonový klub MI o.z. Trenčín</t>
  </si>
  <si>
    <t>Jednota Sokol o.z., Trenčín</t>
  </si>
  <si>
    <t>Bedmintonový klub AS o.z., Trenčín</t>
  </si>
  <si>
    <t>Tenisové centrum mládeže, o.z. Trenčín</t>
  </si>
  <si>
    <t>Kanoistický klub TTS o.z., Trenčín</t>
  </si>
  <si>
    <t>Telovýchovná jednota CEVA Trenčín</t>
  </si>
  <si>
    <t>Trenčinsky kolkársky klub o.z., Trenčín</t>
  </si>
  <si>
    <t>Miestny klub Slovenkého Orla</t>
  </si>
  <si>
    <t>Climberg športový klub</t>
  </si>
  <si>
    <t>TJ Slávia športové gymnázium TN</t>
  </si>
  <si>
    <t>Strelecký kub Inovec</t>
  </si>
  <si>
    <t>Golfový a športový klub Trenčín</t>
  </si>
  <si>
    <t>ŠK Dračie Légie 2012 Trenčín</t>
  </si>
  <si>
    <t>Športový klub nepočujúcich</t>
  </si>
  <si>
    <t>Stolnotenisový klub Keraming Trenčín</t>
  </si>
  <si>
    <t>Elite fight promotion, o.z.</t>
  </si>
  <si>
    <t>Karate klub Ekonóm, o.z.</t>
  </si>
  <si>
    <t>TK ASICS Trenčín</t>
  </si>
  <si>
    <t>Musher klub Trenčín</t>
  </si>
  <si>
    <t>Bikeacademy.sk</t>
  </si>
  <si>
    <t>Kraso, o.z.</t>
  </si>
  <si>
    <t>Honkadori Aikido Dojo Trenčín</t>
  </si>
  <si>
    <t>Športový klub polície</t>
  </si>
  <si>
    <t>Mestská únia malého futbalu</t>
  </si>
  <si>
    <t>Považská Sokolská župa</t>
  </si>
  <si>
    <t>Dotácie v oblasti športu a mládeže v roku 2018</t>
  </si>
  <si>
    <t>Dotácie pre mládež</t>
  </si>
  <si>
    <t>Dotácie na výnimočné akcie</t>
  </si>
  <si>
    <t>Príjemca dotácie</t>
  </si>
  <si>
    <t>Účel dotácie</t>
  </si>
  <si>
    <t>Športové gymnázium</t>
  </si>
  <si>
    <t>Internátny časopis</t>
  </si>
  <si>
    <t>Spoločnosť Downovho syndrómu na Slov.</t>
  </si>
  <si>
    <t>Kultúrne centrum Aktivity</t>
  </si>
  <si>
    <t>Štyri ročné obdobia</t>
  </si>
  <si>
    <t>Martin Vlnka s.r.o.</t>
  </si>
  <si>
    <t>OZ Južanček</t>
  </si>
  <si>
    <t>Farský deň</t>
  </si>
  <si>
    <t>Športový klub REAL team Trenčín</t>
  </si>
  <si>
    <t>Tecemko</t>
  </si>
  <si>
    <t>Remeslo má zlaté dno</t>
  </si>
  <si>
    <t>Sportkemp, o.z.</t>
  </si>
  <si>
    <t xml:space="preserve">OZ 3 Run Slovakia </t>
  </si>
  <si>
    <t>Dovýstavba areálu</t>
  </si>
  <si>
    <t>Tenisové centrum mládeže Trenčín</t>
  </si>
  <si>
    <t xml:space="preserve">Trakt </t>
  </si>
  <si>
    <t>Multifestival</t>
  </si>
  <si>
    <t>Stolnotenisový klub T.J.Kubran Trenčín</t>
  </si>
  <si>
    <t>Slovenský skauting</t>
  </si>
  <si>
    <t xml:space="preserve">Motivačný lezecký kurz </t>
  </si>
  <si>
    <t>Jednota Sokol Trenčín o.z.</t>
  </si>
  <si>
    <t>Aktívne ženy Trenčína a okolia</t>
  </si>
  <si>
    <t>Kultúrne centrum Sihoť</t>
  </si>
  <si>
    <t>Zero Waste - deň pre nás a našu zem</t>
  </si>
  <si>
    <t>AUTIS o.z.</t>
  </si>
  <si>
    <t>Trakt</t>
  </si>
  <si>
    <t>Kreatívne workshopy</t>
  </si>
  <si>
    <t>Buď lepší, o.z.</t>
  </si>
  <si>
    <t>AS Trenčín a.s.</t>
  </si>
  <si>
    <t>Hádzanársky klub Štart Trenčín</t>
  </si>
  <si>
    <t>HK DUKLA Trenčín, n.o.</t>
  </si>
  <si>
    <t xml:space="preserve">Šport center </t>
  </si>
  <si>
    <t>Elite Fight Promotion o.z</t>
  </si>
  <si>
    <t>Športový klub polície v Trenčíne</t>
  </si>
  <si>
    <t xml:space="preserve">TeCeMko - Trenčianske centrum mládeže </t>
  </si>
  <si>
    <t>Laugaricio Combat Club</t>
  </si>
  <si>
    <t>Spojená škola internátna Trenčín</t>
  </si>
  <si>
    <t>Trenčiansky futbalový klub 1939 Záblatie</t>
  </si>
  <si>
    <t>Slovenská asociácia silných mužov</t>
  </si>
  <si>
    <t>Pro šport team, o.z.</t>
  </si>
  <si>
    <t xml:space="preserve">Sport Polo Dance Federation Slovakia </t>
  </si>
  <si>
    <t>Facility, s.r.o.</t>
  </si>
  <si>
    <t>Stolnotenisový klub Keraming TN</t>
  </si>
  <si>
    <t>Promopline PLUS, s.r.o.</t>
  </si>
  <si>
    <t>Hádzanársky klub Asociácie športov TN</t>
  </si>
  <si>
    <t>Slávia ŠG Trenčín</t>
  </si>
  <si>
    <t>Centrum včasnej intervencie, n.o</t>
  </si>
  <si>
    <t>Bedmintonový klub AS Trenčín</t>
  </si>
  <si>
    <t>3run Slovakia, o.z.</t>
  </si>
  <si>
    <t>ŠK 1. FBC Trenčín</t>
  </si>
  <si>
    <t>Príloha č.9</t>
  </si>
  <si>
    <t>Dotácie v  oblasti kultúry  v roku 2018</t>
  </si>
  <si>
    <t xml:space="preserve">Príjemca dotácie </t>
  </si>
  <si>
    <t>BEŇADIK neinvestičný fond</t>
  </si>
  <si>
    <t>Benefičný Mariánsky koncert</t>
  </si>
  <si>
    <t>LUAN, o.z.</t>
  </si>
  <si>
    <t>Divadelné predstavenie pre deti a mládež</t>
  </si>
  <si>
    <t>Detský folklórny súbor Kornička</t>
  </si>
  <si>
    <t xml:space="preserve">Z našej kuchyne &amp;Dobre nech je tomu domu </t>
  </si>
  <si>
    <t>Hocpic Milosrdných sestier, o.z.</t>
  </si>
  <si>
    <t>VIII. Benefičný koncert pre pacientov Hospicu Milosrdných sestier</t>
  </si>
  <si>
    <t>Dogma Divadlo</t>
  </si>
  <si>
    <t>Konzervatívec (K stému výročiu vzniku ČSR)</t>
  </si>
  <si>
    <t>O.z. Trenčania pre Trenčín</t>
  </si>
  <si>
    <t>Kultúrne leto na Severe</t>
  </si>
  <si>
    <t>TRAKT, o.z</t>
  </si>
  <si>
    <t>Presahy videomappingu</t>
  </si>
  <si>
    <t>Projekt slamka o.z.</t>
  </si>
  <si>
    <t>TEDx Trenčín 2018 - cyklus</t>
  </si>
  <si>
    <t>Veselé Zlatovce, o.z.</t>
  </si>
  <si>
    <t>Zachovávanie kultúrnych tradícií a zvyklostí v mestskej časti Zlatovce</t>
  </si>
  <si>
    <t>Seniorklub Družba Trenčín, o.z.</t>
  </si>
  <si>
    <t>Október - mesiac úcty k starším - Naše spevy a tance III.</t>
  </si>
  <si>
    <t>Folklórny súbor Nadšenci</t>
  </si>
  <si>
    <t>XI. tanečný dom v Trenčíne</t>
  </si>
  <si>
    <t xml:space="preserve">OZ Materské centrum Srdiečko </t>
  </si>
  <si>
    <t>Míľa pre mamu 2018</t>
  </si>
  <si>
    <t>13. ročník trenčianskeho vodníckeho stretnutia 2018</t>
  </si>
  <si>
    <t>VW Chrobák Klub Trenčín</t>
  </si>
  <si>
    <t>VW BUG meeting Slovakia</t>
  </si>
  <si>
    <t>KOLOMAŽ, združenie pre súčasné umenie</t>
  </si>
  <si>
    <t>Otvorený kultúrny priestor 2018: "SYN-TÉZA"</t>
  </si>
  <si>
    <t xml:space="preserve">Divadlo 21 o.z.  </t>
  </si>
  <si>
    <t>Slabomyseľná - premiéra novej divadelnej hry</t>
  </si>
  <si>
    <t>Trenčianska nadácia</t>
  </si>
  <si>
    <t xml:space="preserve">Dobrý bazár </t>
  </si>
  <si>
    <t>Otvor srdce, daruj knihu</t>
  </si>
  <si>
    <t xml:space="preserve">Projekt Ostrov     </t>
  </si>
  <si>
    <t>Gympelrock 2018</t>
  </si>
  <si>
    <t xml:space="preserve">Ad Fontes Musicae - K prameňom hudby </t>
  </si>
  <si>
    <t>Renesančné Vianoce</t>
  </si>
  <si>
    <t>Občianske združenie Country tanečný súbor Maryland</t>
  </si>
  <si>
    <t>Country Majáles</t>
  </si>
  <si>
    <t>Trenčianske folklórne združenie STODOLA</t>
  </si>
  <si>
    <t>Hojné požehnanie vám nesieme</t>
  </si>
  <si>
    <t xml:space="preserve">Občianske združenie Hudobné aktivity </t>
  </si>
  <si>
    <t>Adventný festival speváckych zborov "Daj boh šťastia 2018"</t>
  </si>
  <si>
    <t>Tanečný klub Aura Dance</t>
  </si>
  <si>
    <t>X-Mas dance show</t>
  </si>
  <si>
    <t>Klub filatelistov 52-19 Trenčín Zväzu slovenských filatelistov o.z.</t>
  </si>
  <si>
    <t xml:space="preserve">Združená výstava k 100. výročiu ukončenia 1 sv. vojny a vzniku Československa </t>
  </si>
  <si>
    <t xml:space="preserve">CPR Trenčín o.z.     </t>
  </si>
  <si>
    <t>Deň rodiny v Trenčíne 2018</t>
  </si>
  <si>
    <t>Klub detí a mládeže TIGRÍKY, o.z.</t>
  </si>
  <si>
    <t xml:space="preserve">10. výročie tanečnej školy Tancujúce tigríky </t>
  </si>
  <si>
    <t xml:space="preserve">Trenčianska jazzová spoločnosť </t>
  </si>
  <si>
    <t>Jazz v meste 2018</t>
  </si>
  <si>
    <t>Združenie rodičov pri SUŠ Trenčín</t>
  </si>
  <si>
    <t>Ódy módy 2018</t>
  </si>
  <si>
    <t>Nová Vlna</t>
  </si>
  <si>
    <t>Výstavy súčasného vizuálneho umenia III</t>
  </si>
  <si>
    <t>Kultúrne centrum Kubra</t>
  </si>
  <si>
    <t>Výstavy a tvorivé dielne pre deti</t>
  </si>
  <si>
    <t>Zachovávanie kultúrnych tradícií - FS Kubra v roku 2018</t>
  </si>
  <si>
    <t>Škola tkania-zakúpenie tkáčskych dielní</t>
  </si>
  <si>
    <t xml:space="preserve">Džamál o.z. </t>
  </si>
  <si>
    <t>Laugaricio orient festival 2017</t>
  </si>
  <si>
    <t xml:space="preserve">Občianske združenie Naše Záblatie </t>
  </si>
  <si>
    <t xml:space="preserve">Udržiavanie kultúrnych tradícií v mestskej časti Záblatie </t>
  </si>
  <si>
    <t>Občania pre Trenčín o.z.</t>
  </si>
  <si>
    <t>11. Zlatovský festival dychových hudieb</t>
  </si>
  <si>
    <t>Face2bass Klub</t>
  </si>
  <si>
    <t>Fest Art Trenčín 2018</t>
  </si>
  <si>
    <t>Občianske združenie Komenský</t>
  </si>
  <si>
    <t>Folkloristika</t>
  </si>
  <si>
    <t xml:space="preserve">Centrum enviromentálnych aktivít </t>
  </si>
  <si>
    <r>
      <t>Biojarmok (</t>
    </r>
    <r>
      <rPr>
        <sz val="8"/>
        <color rgb="FF000000"/>
        <rFont val="Arial"/>
        <family val="2"/>
        <charset val="238"/>
      </rPr>
      <t>čiastka 91,51 € bola vrátená ako nevyčerpaná dotácia)</t>
    </r>
  </si>
  <si>
    <t>Trenčan, folklórny súbor Gymnázia Ľ. Štúra Trenčín</t>
  </si>
  <si>
    <t xml:space="preserve">Činnosť FS Trenčan </t>
  </si>
  <si>
    <t xml:space="preserve">Činnosť FS Nadšenci </t>
  </si>
  <si>
    <t>Seniorklub Družba Trenčín</t>
  </si>
  <si>
    <t>Činnosť FS Seniorklub Družba Trenčín</t>
  </si>
  <si>
    <t xml:space="preserve">TRAKT </t>
  </si>
  <si>
    <t>Činnosť kreatívcov</t>
  </si>
  <si>
    <t>Činnosť TK Aura Dance</t>
  </si>
  <si>
    <t xml:space="preserve">Občianske združenie Country tanečný súbor Maryland </t>
  </si>
  <si>
    <t xml:space="preserve">Country tanečný súbor Maryland </t>
  </si>
  <si>
    <t xml:space="preserve">DFS Radosť v Trenčíne </t>
  </si>
  <si>
    <t>Činnosť DFS Radosť</t>
  </si>
  <si>
    <t xml:space="preserve">Činnosť TFZ STODOLA </t>
  </si>
  <si>
    <t>Zakúpenie tanečnýh kostýmov na nový tanec</t>
  </si>
  <si>
    <t xml:space="preserve">Fistulatoris Consort - detský súbor starej hudby </t>
  </si>
  <si>
    <t xml:space="preserve">Musica Poetica súbor starej hudby </t>
  </si>
  <si>
    <t>Komorný orchester mesta Trenčín</t>
  </si>
  <si>
    <t>Činnosť KOMT v r. 2018</t>
  </si>
  <si>
    <t>Doplnenie krojov pre DFS Kubranček</t>
  </si>
  <si>
    <t xml:space="preserve">Nahrávanie CD nosiča </t>
  </si>
  <si>
    <t>Džamál, o.z.</t>
  </si>
  <si>
    <t xml:space="preserve">o.z. Džamál -technické a materiálne vybavenie </t>
  </si>
  <si>
    <t>Folklórny súbor Družba</t>
  </si>
  <si>
    <t>Obnova krojového vybvenia súboru - sústredenia - zájazd 2018</t>
  </si>
  <si>
    <t xml:space="preserve">Dychová hudba TEXTILANKA </t>
  </si>
  <si>
    <t xml:space="preserve">Materiálno-tech. zabezpečenie, dovybavenie zvukovej techniky a vydanie CD a DVD nosiča </t>
  </si>
  <si>
    <t>Trenčiansky spevácky zbor</t>
  </si>
  <si>
    <t xml:space="preserve">Zachovanie a rozvoj zborového spevu v Trenčíne </t>
  </si>
  <si>
    <t>Rendek Holding, s.r.o.</t>
  </si>
  <si>
    <t>HRAdosti</t>
  </si>
  <si>
    <t>Susan Slovakia, s.r.o.</t>
  </si>
  <si>
    <t>Bella (a) cappela</t>
  </si>
  <si>
    <t>VEMO, s.r.o.</t>
  </si>
  <si>
    <t>GIBON JAMM - 8.ročník</t>
  </si>
  <si>
    <t>Coffee Sheep</t>
  </si>
  <si>
    <t xml:space="preserve"> KULTURSHEEP: pravidelné kultúrno-osvetové podujatia </t>
  </si>
  <si>
    <t>Clover Media s.r.o</t>
  </si>
  <si>
    <t xml:space="preserve">Okolo Trenčína </t>
  </si>
  <si>
    <t>Granvino, s.r.o.</t>
  </si>
  <si>
    <t>3. ročník festivalu "Víno pod hradom"</t>
  </si>
  <si>
    <t>ZRNTLS s.r.o.</t>
  </si>
  <si>
    <t xml:space="preserve">Netradičný priestor pre prezentáciu viacerých foriem umenia </t>
  </si>
  <si>
    <t>Ing. Katarína Vidal</t>
  </si>
  <si>
    <t xml:space="preserve">Tance pre radosť </t>
  </si>
  <si>
    <t>Ing. Štefan Bucha - Dielňa Motýľ</t>
  </si>
  <si>
    <t xml:space="preserve">Večer slovenského a českého folklóru pri príležitosti 100-ho výročia vzniku spoločnej republiky </t>
  </si>
  <si>
    <t xml:space="preserve">Mgr. Tamara Nižňanská </t>
  </si>
  <si>
    <t>The Youniverse Pop-Up Shop</t>
  </si>
  <si>
    <t>Zuzana Soukupová</t>
  </si>
  <si>
    <t>CAMPANILLAS</t>
  </si>
  <si>
    <t>Jerguš Oravec</t>
  </si>
  <si>
    <t>Youniverse - CMYK</t>
  </si>
  <si>
    <t xml:space="preserve">Verejná knižnica M.Rešetku v Trenčíne </t>
  </si>
  <si>
    <t xml:space="preserve">Slovník významných osobností mesta Trenčín- 20. storočie </t>
  </si>
  <si>
    <t>Galéria Miloša Alexandra Bazovského v Trenčíne</t>
  </si>
  <si>
    <t xml:space="preserve">Leto v galérii </t>
  </si>
  <si>
    <t>Rehoľa piaristov na Slovensku</t>
  </si>
  <si>
    <t>Dni Maximiliána Hella 2018</t>
  </si>
  <si>
    <t>Cirkevný zbor Evanjelickej cirkvi augsburského vyznania na Slovensku so sídlom v Trenčíne</t>
  </si>
  <si>
    <t xml:space="preserve">Trenčiansky evanjelický spevokol ZVON-záujmová činnnosť </t>
  </si>
  <si>
    <t>Piaristické gymnázium J. Braneckého v Trenčíne</t>
  </si>
  <si>
    <t>Činnosť speváckeho zboru Piarissimo</t>
  </si>
  <si>
    <t>Príloha č.10</t>
  </si>
  <si>
    <t>Dotácie v sociálnej oblasti v roku 2018</t>
  </si>
  <si>
    <t>Ars vivendi, o.z. pre pomoc duševne chorým</t>
  </si>
  <si>
    <t>Kvalitnejšia terapia v Dennom psychiatrickom a psychoterapeutickom stacionári v Trenčíne</t>
  </si>
  <si>
    <t>Asociácia nepočujúcich Slovenska</t>
  </si>
  <si>
    <t>Sociálno-rehabilitačný pobyt</t>
  </si>
  <si>
    <t>Asociácia zväzov zdravotne postihnutých v Trenčíne (DSS)</t>
  </si>
  <si>
    <t>Skvalitnenie poskytovanej sociálnej služby</t>
  </si>
  <si>
    <t>Klub abstinentov Trenčín</t>
  </si>
  <si>
    <t>Rodinná terénna terapia Kunerad 2018</t>
  </si>
  <si>
    <t>Liga proti reumatizmu</t>
  </si>
  <si>
    <t>Rekondičný pobyt</t>
  </si>
  <si>
    <t>LUNA, n.o.</t>
  </si>
  <si>
    <t>Zriadenie pracoviska Bezpečného ženského domu Trenčín pre účely pracovnej terapie</t>
  </si>
  <si>
    <t>Organizácia postihnutých chronickými chorobami v Trenčíne</t>
  </si>
  <si>
    <t>Sociálne poradenstvo a prevencia, Rekondičný pobyt pre zdravotne postihnutých</t>
  </si>
  <si>
    <t>Rotary Club Trenčín Laugarício</t>
  </si>
  <si>
    <t>Podpora prevádzky chránenej dielne - kaviareň Na ceste</t>
  </si>
  <si>
    <t>Slovenský zväz scierosis multiplex Klub SM pri SZSM Trenčín</t>
  </si>
  <si>
    <t xml:space="preserve">Činnosť klubu </t>
  </si>
  <si>
    <t>Slovenský zväz telesne postihnutých, ZO 17</t>
  </si>
  <si>
    <t>Hydroterapiou k regenerácii ťažko telesne postihnutých</t>
  </si>
  <si>
    <t>Slovenský zväz telesne postihnutých, ZO 57</t>
  </si>
  <si>
    <t>Rekondično-integračný program pre členov ZO</t>
  </si>
  <si>
    <t>StarDOZ, n.o.</t>
  </si>
  <si>
    <t>Mobilný dezinfekčný ozónový prístroj pre Trenčín</t>
  </si>
  <si>
    <t>Základná organizácia nedoslýchavých</t>
  </si>
  <si>
    <t>Činnosť ZO nedoslýchavých v roku 2018</t>
  </si>
  <si>
    <t>Zväz diabetikov Slovenska, ZO DIAVIA Trenčín</t>
  </si>
  <si>
    <t>Činnosť v roku 2018</t>
  </si>
  <si>
    <t>JDS ZO 02 - Akadémia tretieho veku</t>
  </si>
  <si>
    <t>Celoživotné vzdelávanie seniorov, Akadémia tretieho veku</t>
  </si>
  <si>
    <t>Príloha č.11</t>
  </si>
  <si>
    <t>Dotácie v  oblasti školstva  v roku 2018</t>
  </si>
  <si>
    <t>Príjemca dotácie a názov projektu</t>
  </si>
  <si>
    <t xml:space="preserve">Susan Slovakia, s.r.o. </t>
  </si>
  <si>
    <t>100. výročie vzniku prvej Československej republiky</t>
  </si>
  <si>
    <t xml:space="preserve">OZ ZLATÁ TEHLIČKA,  Trenčín </t>
  </si>
  <si>
    <t>Krok za krokom vo finančnom vzdelávaní</t>
  </si>
  <si>
    <t xml:space="preserve">Rada rodičov pri Základnej umeleckej škole K. Pádivého, </t>
  </si>
  <si>
    <t>Medzinárodný festival komorných telies</t>
  </si>
  <si>
    <t>AUTIS, o.z.,</t>
  </si>
  <si>
    <t>Učíme sa ako učiť deti</t>
  </si>
  <si>
    <t xml:space="preserve">Rodičovské združenie pri MŠ Soblahovská 22, Trenčín </t>
  </si>
  <si>
    <t>Separujme denne trošku, budeme mať peknú knižku</t>
  </si>
  <si>
    <t xml:space="preserve">Galéria Miloša Alexandra Bazovského v Trenčíne </t>
  </si>
  <si>
    <t>Galéria a škola 2018</t>
  </si>
  <si>
    <t xml:space="preserve">Centrum enviromentálnych aktivít, o.z.   Trenčín </t>
  </si>
  <si>
    <t>Poznaj a chráň prírodu Trenčína</t>
  </si>
  <si>
    <t xml:space="preserve">Verejná knižnica Michala Rešetku v Trenčíne </t>
  </si>
  <si>
    <t>Motivačné a vzdelávacie súťaže pre deti</t>
  </si>
  <si>
    <t xml:space="preserve">Občianske združenie rodičov pri MŠ, Stromová 3, Trenčín </t>
  </si>
  <si>
    <t>Dopravná výchova</t>
  </si>
  <si>
    <t xml:space="preserve">OZ. Kolotoč pri centre voľného času v Trenčíne </t>
  </si>
  <si>
    <t>Vedomosti do hrsti! 2. ročník</t>
  </si>
  <si>
    <t xml:space="preserve">OZ. Komenský, Trenčín </t>
  </si>
  <si>
    <t>Deti maľujú školský plot</t>
  </si>
  <si>
    <t xml:space="preserve">Obchodná akadémia M. Hodžu v Trenčíne </t>
  </si>
  <si>
    <t>Účasť cvičnej firmy VYPI, a.s. pri OA M. Hodžu Trenčín na 24. Medzinárodnom veľtrhu cvičných firiem 2018 v Prahe, ČR</t>
  </si>
  <si>
    <t xml:space="preserve">OZ. pri ZŠ Na dolinách 27, Trenčín </t>
  </si>
  <si>
    <t>Čitateľský twinning ZŠ, Na dolinách – ZŠ Kubranská</t>
  </si>
  <si>
    <t>Vytvorenie relaxačnej a oddychovej zóny v priestoroch základnej školy</t>
  </si>
  <si>
    <t>OZ. pri ZŠ Na dolinách 27, Trenčín</t>
  </si>
  <si>
    <t>Veselá olympáda</t>
  </si>
  <si>
    <t xml:space="preserve">OZ. Komenský, Veľkomoravská 12, Trenčín </t>
  </si>
  <si>
    <t>Súťaž v hľadaní najkrajších slovenských a svetových výrobkov</t>
  </si>
  <si>
    <t xml:space="preserve">TeCeM-ko, o.z., Vlárska 383/2F, Trenčín </t>
  </si>
  <si>
    <t>Tímovačky VI. + VII. – Buďme spolu lepší tím</t>
  </si>
  <si>
    <t xml:space="preserve">Kultúrne centrum AKTIVITY o.z., Trenčín </t>
  </si>
  <si>
    <t>Ako sa žije zvieratkám na farme</t>
  </si>
  <si>
    <t>Príloha č.12</t>
  </si>
  <si>
    <t>Dotácie v  oblasti životného prostredia  v roku 2018</t>
  </si>
  <si>
    <t>RZ pri MŠ Soblahovská 22, Trenčín</t>
  </si>
  <si>
    <t>Nákup stromčekov, osiva na zatrávnenie</t>
  </si>
  <si>
    <t>Zaži Trenčín o.z.</t>
  </si>
  <si>
    <t>Prenájom 2 ks mobilných toaliet</t>
  </si>
  <si>
    <t>Vybudovanie náučného chodníka na Brezine</t>
  </si>
  <si>
    <t>Slovenský skauting, 93.prístav Tortuga Trenčín</t>
  </si>
  <si>
    <t>Ekologické vzdelávanie, prednášky, diskusie, čistenie mesta</t>
  </si>
  <si>
    <t>Príloha č.13</t>
  </si>
  <si>
    <t>Pohľadávky Mesta Trenčín k 31.12.2018</t>
  </si>
  <si>
    <t>k 31.12.2018</t>
  </si>
  <si>
    <t>k 31.12.2017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</si>
  <si>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</si>
  <si>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</si>
  <si>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</si>
  <si>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</si>
  <si>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</si>
  <si>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</si>
  <si>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</si>
  <si>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</si>
  <si>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Daň za ubytovanie</t>
  </si>
  <si>
    <t>Miestny poplatok za KO a DSO</t>
  </si>
  <si>
    <t>Nájomné zmluvy</t>
  </si>
  <si>
    <t>Z predaja a nájmu bytov a nebyt. priestorov</t>
  </si>
  <si>
    <t>Pokuty</t>
  </si>
  <si>
    <t>Z protialkoholickej záchytnej izby</t>
  </si>
  <si>
    <t>Za znečisťovanie ovzdušia</t>
  </si>
  <si>
    <t xml:space="preserve">Z lotérií a iných podobných hier </t>
  </si>
  <si>
    <t>Neuhradené faktúry</t>
  </si>
  <si>
    <t>Príjmy budúcich období</t>
  </si>
  <si>
    <t>Podnikanie - KIC</t>
  </si>
  <si>
    <t>Ostatné pohľadávky</t>
  </si>
  <si>
    <t>Príloha č. 14</t>
  </si>
  <si>
    <t>Prehľad dlhu v zmysle § 17, ods. 6,7 zákona č. 583/2004 o rozpočtových pravidlách územnej samosprávy v znení neskorších predpisov k 31.12.2018</t>
  </si>
  <si>
    <t>Úvery</t>
  </si>
  <si>
    <t>Poskytovateľ úveru</t>
  </si>
  <si>
    <t xml:space="preserve">Zmluva č. </t>
  </si>
  <si>
    <t>Výška poskytnutého úveru</t>
  </si>
  <si>
    <t>1.splátka úveru</t>
  </si>
  <si>
    <t>Splátky</t>
  </si>
  <si>
    <t>Splátky od 1.1.2018 do 31.12.2018</t>
  </si>
  <si>
    <t>Splátky spolu od 1.splátky úveru</t>
  </si>
  <si>
    <t>Splatnosť úveru</t>
  </si>
  <si>
    <t xml:space="preserve">Zostatok úveru </t>
  </si>
  <si>
    <t>zo dňa</t>
  </si>
  <si>
    <t>v EUR</t>
  </si>
  <si>
    <t xml:space="preserve"> k 31.12.2018 v EUR</t>
  </si>
  <si>
    <t>Štátny fond rozvoja bývania, 61 b.j.</t>
  </si>
  <si>
    <t>úver nevstupuje do dlhovej služby</t>
  </si>
  <si>
    <t>309/308/2002</t>
  </si>
  <si>
    <t>mesačne vrátane úroku</t>
  </si>
  <si>
    <t xml:space="preserve">Štátny fond rozvoja bývania 48 b.j. </t>
  </si>
  <si>
    <t>300/149/2017</t>
  </si>
  <si>
    <t>jún 2018</t>
  </si>
  <si>
    <t>vždy do 15.na účte</t>
  </si>
  <si>
    <t>2048</t>
  </si>
  <si>
    <t>trvalý príkaz v čsob</t>
  </si>
  <si>
    <t>Štátny fond rozvoja bývania 26 b.j.</t>
  </si>
  <si>
    <t xml:space="preserve">k 31.12.2018 vstupuje do dlhovej služby </t>
  </si>
  <si>
    <t>300/202/2018</t>
  </si>
  <si>
    <t>Slovenská sporiteľňa a.s.</t>
  </si>
  <si>
    <t>úver vstupuje do dlhovej služby</t>
  </si>
  <si>
    <t>1187/CC/16</t>
  </si>
  <si>
    <t>31.1.2010</t>
  </si>
  <si>
    <t>mesačne: 56 215 €</t>
  </si>
  <si>
    <t>dodatok č.1,2,3,4,5,6,7</t>
  </si>
  <si>
    <t>posledná: 56 196,04 €</t>
  </si>
  <si>
    <t>1186/CC/16</t>
  </si>
  <si>
    <t>31.1.2014</t>
  </si>
  <si>
    <t>mesačne: 10 530 €</t>
  </si>
  <si>
    <t>dodatok č.1,2,3</t>
  </si>
  <si>
    <t>posledná: 10 110 €</t>
  </si>
  <si>
    <t>1190/CC/16</t>
  </si>
  <si>
    <t>31.1.2017</t>
  </si>
  <si>
    <t>mesačne: 8 334 €</t>
  </si>
  <si>
    <t>posledná: 8 254 €</t>
  </si>
  <si>
    <t>335/CC/18</t>
  </si>
  <si>
    <t>31.1.2019</t>
  </si>
  <si>
    <t>mesačne: 26.750 €</t>
  </si>
  <si>
    <t>posledná: 26.750 €</t>
  </si>
  <si>
    <t>Československá obchodná banka a.s.</t>
  </si>
  <si>
    <t>0499/15/80226</t>
  </si>
  <si>
    <t>mesačne 20.012,24 €</t>
  </si>
  <si>
    <t>posledná 20.012,24 €</t>
  </si>
  <si>
    <t>0840/14/80226</t>
  </si>
  <si>
    <t>mesačné: 5.681,33 €</t>
  </si>
  <si>
    <t>posledná: 5.681,73 €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</si>
  <si>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</si>
  <si>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</si>
  <si>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</si>
  <si>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</si>
  <si>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</si>
  <si>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</si>
  <si>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mesačne: 10 834 €</t>
  </si>
  <si>
    <t>posledná: 10 784 €</t>
  </si>
  <si>
    <t>S02531/2015</t>
  </si>
  <si>
    <t>29.1.2016</t>
  </si>
  <si>
    <t>mesačne: 15 000 €</t>
  </si>
  <si>
    <t>posledná 15 000 €</t>
  </si>
  <si>
    <t>Slovenská záručná a rozvojová banka</t>
  </si>
  <si>
    <t>282917-2017</t>
  </si>
  <si>
    <t>21.1.2018</t>
  </si>
  <si>
    <t>mesačne: 27 130 €</t>
  </si>
  <si>
    <t>posledná 27 180 €</t>
  </si>
  <si>
    <t>Dodávateľské investičné úvery</t>
  </si>
  <si>
    <t>Poskytovateľ</t>
  </si>
  <si>
    <t xml:space="preserve">Výška </t>
  </si>
  <si>
    <t xml:space="preserve">1.splátka </t>
  </si>
  <si>
    <t>ČSOB a.s./Siemens</t>
  </si>
  <si>
    <t>vstupuje do dlhovej služby</t>
  </si>
  <si>
    <t>15.1.2009</t>
  </si>
  <si>
    <t>vždy 15.v mesiaci</t>
  </si>
  <si>
    <t>18.12.2007</t>
  </si>
  <si>
    <t>mesačne 33 428,69 €</t>
  </si>
  <si>
    <t>mesačne 8 022,88 €</t>
  </si>
  <si>
    <t>27.5.2008</t>
  </si>
  <si>
    <t>mesačne 23 347,29 €</t>
  </si>
  <si>
    <t>mesačne 5 603,35 €</t>
  </si>
  <si>
    <t>22.8.2008</t>
  </si>
  <si>
    <t>mesačne 1 284,41 €</t>
  </si>
  <si>
    <t>mesačne 5 351,72 €</t>
  </si>
  <si>
    <t>SLSP a.s./Dohoda o reštr. - ERES</t>
  </si>
  <si>
    <t>dodatok 1,2,3</t>
  </si>
  <si>
    <t>31.1.2011</t>
  </si>
  <si>
    <t>vždy posl. v mesiaci</t>
  </si>
  <si>
    <t>19.8.2010</t>
  </si>
  <si>
    <t>mesačne 4 889,76 €</t>
  </si>
  <si>
    <t>SLSP a.s./Dohoda o reštr. - VOD-EKO</t>
  </si>
  <si>
    <t>7.7.2010</t>
  </si>
  <si>
    <t>mesačne 10 499,09 €</t>
  </si>
  <si>
    <t>Príloha č. 15</t>
  </si>
  <si>
    <t xml:space="preserve">  Vývoj dlhovej služby Mesta Trenčín v rokoch  2013-2018 vo väzbe  na zákon č.583/2004 Z.z. o rozpočtových pravidlách územnej samosprávy  a o zmene a doplnení niektorých zákonov v znení neskorších predpisov 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</si>
  <si>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</si>
  <si>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počet obyvateľov k 31.12.</t>
  </si>
  <si>
    <t>Dlhová služba v tis. €</t>
  </si>
  <si>
    <t>Dlhová služba na 1 obyvateľa v €</t>
  </si>
  <si>
    <t>Bežné príjmy v tis. €</t>
  </si>
  <si>
    <t>Podiel dlhu na bežných príjmoch predchádzajúceho roka*</t>
  </si>
  <si>
    <t>Splátky úverov a úrokov v tis. €</t>
  </si>
  <si>
    <t>Bežné príjmy v tis. € znížené o prostriedky z iných rozpočtov (platí od 2017)</t>
  </si>
  <si>
    <t>Podiel splátok úverov a úrokov na bežných príjmoch predch.roka **</t>
  </si>
  <si>
    <t xml:space="preserve"> V súlade s § 17, ods. 6 zákona č.583/2004 Z.z. o rozpočtových pravidlách územnej samosprávy a o zmene a doplnení </t>
  </si>
  <si>
    <t>niektorých zákonov v znení neskorších predpisov obec môže na plnenie svojich úloh prijať návratné zdroje financovania</t>
  </si>
  <si>
    <t>len ak:</t>
  </si>
  <si>
    <t xml:space="preserve">a)   celková suma dlhu ku koncu rozpočtového roka neprekročí 60% skutočných bežných príjmov predchádzajúceho rozpočtového roka a 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</si>
  <si>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</si>
  <si>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Príloha č.16</t>
  </si>
  <si>
    <t>Bežné výdavky podľa funkčnej klasifikácie k 31.12.2018</t>
  </si>
  <si>
    <t>Schválený rozpočet</t>
  </si>
  <si>
    <t xml:space="preserve">Upravený rozpočet </t>
  </si>
  <si>
    <t>Plnenie</t>
  </si>
  <si>
    <t>Bežné výdavky</t>
  </si>
  <si>
    <t>01</t>
  </si>
  <si>
    <t>Všeobecné verejné služby</t>
  </si>
  <si>
    <t>01.1.1.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</si>
  <si>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</si>
  <si>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</si>
  <si>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</si>
  <si>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</si>
  <si>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</si>
  <si>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</si>
  <si>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</si>
  <si>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</si>
  <si>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</si>
  <si>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</si>
  <si>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</si>
  <si>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</si>
  <si>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</si>
  <si>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</si>
  <si>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</si>
  <si>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</si>
  <si>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</si>
  <si>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</si>
  <si>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</si>
  <si>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</si>
  <si>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</si>
  <si>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</si>
  <si>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</si>
  <si>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</si>
  <si>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</si>
  <si>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</si>
  <si>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</si>
  <si>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</si>
  <si>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</si>
  <si>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</si>
  <si>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</si>
  <si>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</si>
  <si>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</si>
  <si>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</si>
  <si>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</si>
  <si>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</si>
  <si>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</si>
  <si>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</si>
  <si>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</si>
  <si>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</si>
  <si>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</si>
  <si>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</si>
  <si>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</si>
  <si>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</si>
  <si>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</si>
  <si>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</si>
  <si>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</si>
  <si>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</si>
  <si>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08.2.0.</t>
  </si>
  <si>
    <t>Ostatné kultúrne služby</t>
  </si>
  <si>
    <t>08.3.0.</t>
  </si>
  <si>
    <t>TV vysielanie, hlásnik</t>
  </si>
  <si>
    <t>08.4.0.</t>
  </si>
  <si>
    <t>Obradné siene + náboženstvo</t>
  </si>
  <si>
    <t>08.6.0.</t>
  </si>
  <si>
    <t>Rekreácia,kultúra a náboženstvo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</si>
  <si>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</si>
  <si>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</si>
  <si>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</si>
  <si>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</si>
  <si>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</si>
  <si>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</si>
  <si>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09.2.1.1.</t>
  </si>
  <si>
    <t>Nižšie sekundárne vzdelávanie s bežnou starostlivosťou</t>
  </si>
  <si>
    <t>09.5.0.</t>
  </si>
  <si>
    <t>Vzdelávanie nedef.podľa úrovne</t>
  </si>
  <si>
    <t>09.6.0.</t>
  </si>
  <si>
    <t>Školské stravovanie</t>
  </si>
  <si>
    <t>09.6.0.1.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</si>
  <si>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</si>
  <si>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</si>
  <si>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</si>
  <si>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</si>
  <si>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</si>
  <si>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</si>
  <si>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Sociálne zabezpečenie</t>
  </si>
  <si>
    <t>10.1.2.</t>
  </si>
  <si>
    <t>Ďalšie sociálne služby -inval.a ŤZP</t>
  </si>
  <si>
    <t>10.2.0.</t>
  </si>
  <si>
    <t>Zariadenia sociálnych služieb</t>
  </si>
  <si>
    <t>10.4.0.</t>
  </si>
  <si>
    <t>Rodina a deti</t>
  </si>
  <si>
    <t>10.7.0.</t>
  </si>
  <si>
    <t>Soc.pomoc občanom v hm.a soc.núdzi</t>
  </si>
  <si>
    <t>10.9.0.</t>
  </si>
  <si>
    <t>Soc.zabezpečenie inde neklas.</t>
  </si>
  <si>
    <t>Príloha č.17</t>
  </si>
  <si>
    <t>Kapitálové výdavky podľa funkčnej klasifikácie k 31.12.2018</t>
  </si>
  <si>
    <t>Kapitálové výdavky</t>
  </si>
  <si>
    <t>Múzeá a galérie</t>
  </si>
  <si>
    <t>Obradné siene + nábož.</t>
  </si>
  <si>
    <t>09.6.0.1</t>
  </si>
  <si>
    <t>Školské stravovanie v predškolských zariadeniach a základných školách</t>
  </si>
  <si>
    <t>Primárne vzdelávanie</t>
  </si>
  <si>
    <t>10</t>
  </si>
  <si>
    <t>Sociálna pomoc občanom v hmotnej a soc.núdzi</t>
  </si>
  <si>
    <t>Invalidita a ťažké zdravotné postihnutie</t>
  </si>
  <si>
    <t>Príloha č.18</t>
  </si>
  <si>
    <t>Bežné a kapitálové výdavky podľa ekonomickej klasifikácie k 31.12.2018</t>
  </si>
  <si>
    <t>Mzdy, platy, služobné príjmy  a ostatné osobné vyrovnania</t>
  </si>
  <si>
    <t xml:space="preserve">Poistné a príspevok do poisťovní </t>
  </si>
  <si>
    <t>Tovary a služby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</si>
  <si>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</si>
  <si>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</si>
  <si>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</si>
  <si>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</si>
  <si>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</si>
  <si>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</si>
  <si>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</si>
  <si>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Bežné transfery</t>
  </si>
  <si>
    <t>Splácanie úrokov</t>
  </si>
  <si>
    <t>Obstarávanie kapitálových aktív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</si>
  <si>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</si>
  <si>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</si>
  <si>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</si>
  <si>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</si>
  <si>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</si>
  <si>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</si>
  <si>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Kapitálové transfery</t>
  </si>
  <si>
    <t>Príloha č.19</t>
  </si>
  <si>
    <t>Finančné operácie podľa ekonomickej  klasifikácie k 31.12.2018</t>
  </si>
  <si>
    <t>Príjmové operácie spolu</t>
  </si>
  <si>
    <t>Odplata za postúpené pohľadávky</t>
  </si>
  <si>
    <t xml:space="preserve">Zostatok prostriedkov z predchádzajúcich rokov - nevyčerpané dotácie </t>
  </si>
  <si>
    <t>Použitie rezervného fondu</t>
  </si>
  <si>
    <t>Bankové úvery dlhodobé</t>
  </si>
  <si>
    <t>Prijatie úveru zo ŠFRB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</si>
  <si>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</si>
  <si>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</si>
  <si>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</si>
  <si>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Príloha č. 20</t>
  </si>
  <si>
    <t>Prepočítaný počet zamestnancov základných škôl  v šk.roku roku 2018/2019</t>
  </si>
  <si>
    <t>Pedagogickí zamestnanci</t>
  </si>
  <si>
    <t>Odborní zamestnanci</t>
  </si>
  <si>
    <t>Asistenti učiteľa</t>
  </si>
  <si>
    <t>Vychovávatelia</t>
  </si>
  <si>
    <t>Nepedagogickí zamestnanci</t>
  </si>
  <si>
    <t>Zamestnanci školskej jedálne</t>
  </si>
  <si>
    <t>Spolu zamestnancov</t>
  </si>
  <si>
    <t>ZŠ Bezručova</t>
  </si>
  <si>
    <t>ZŠ Dlhé Hony</t>
  </si>
  <si>
    <t>ZŠ Hodžova</t>
  </si>
  <si>
    <t>ZŠ Kubranská</t>
  </si>
  <si>
    <t>ZŠ Na dolinách</t>
  </si>
  <si>
    <t>ZŠ Novomeského</t>
  </si>
  <si>
    <t>ZŠ Východná</t>
  </si>
  <si>
    <t>ZŠ Veľkomoravská</t>
  </si>
  <si>
    <t>ZŠ Potočná</t>
  </si>
  <si>
    <t>ZUŠ</t>
  </si>
  <si>
    <t>CVČ</t>
  </si>
  <si>
    <t>Príloha č.21</t>
  </si>
  <si>
    <t>POČTY ŽIAKOV A TRIED V ROČNÍKOCH V ZŠ V ŠK. ROKU 2018/2019 ( k 15.09.2018)</t>
  </si>
  <si>
    <t>škola/trieda</t>
  </si>
  <si>
    <t>1. - 4.r.</t>
  </si>
  <si>
    <t>5. - 9.r.</t>
  </si>
  <si>
    <t>spolu žiakov školy</t>
  </si>
  <si>
    <t>porovnanie s min. r.</t>
  </si>
  <si>
    <t>počet tried</t>
  </si>
  <si>
    <t xml:space="preserve">ŠKD              </t>
  </si>
  <si>
    <t>integro-     vaní žiaci</t>
  </si>
  <si>
    <t>SZP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</si>
  <si>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</si>
  <si>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</si>
  <si>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</si>
  <si>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</si>
  <si>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</si>
  <si>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</si>
  <si>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</si>
  <si>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</si>
  <si>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</si>
  <si>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Spolu žiakov v ročníku</t>
  </si>
  <si>
    <t>Počet tried</t>
  </si>
  <si>
    <t>Priemerná naplnenosť</t>
  </si>
  <si>
    <r>
      <t xml:space="preserve">ZUŠ - 1153 žiakov (do 15 r. aj nad 15 r.), 522 individuálne; 631 skupinové vyučovanie; </t>
    </r>
    <r>
      <rPr>
        <b/>
        <u/>
        <sz val="10"/>
        <color rgb="FF000000"/>
        <rFont val="Arial"/>
        <family val="2"/>
        <charset val="238"/>
      </rPr>
      <t>nárast o 19 žiakov</t>
    </r>
  </si>
  <si>
    <r>
      <t>CVČ -  594 ( 559 do 15 r., ostatných 35) , pokles</t>
    </r>
    <r>
      <rPr>
        <b/>
        <u/>
        <sz val="10"/>
        <color rgb="FF000000"/>
        <rFont val="Arial"/>
        <family val="2"/>
        <charset val="238"/>
      </rPr>
      <t xml:space="preserve"> o 103 detí</t>
    </r>
  </si>
  <si>
    <r>
      <t xml:space="preserve">MŠ - 1456, z toho 474 predškolákov, </t>
    </r>
    <r>
      <rPr>
        <b/>
        <u/>
        <sz val="10"/>
        <color rgb="FF000000"/>
        <rFont val="Arial"/>
        <family val="2"/>
        <charset val="238"/>
      </rPr>
      <t xml:space="preserve">pokles o 31 detí </t>
    </r>
  </si>
  <si>
    <r>
      <t xml:space="preserve">ŠKD - 1742 žiakov - </t>
    </r>
    <r>
      <rPr>
        <b/>
        <u/>
        <sz val="10"/>
        <color rgb="FF000000"/>
        <rFont val="Arial"/>
        <family val="2"/>
        <charset val="238"/>
      </rPr>
      <t>nárast o 62 detí</t>
    </r>
  </si>
  <si>
    <r>
      <t xml:space="preserve">ZŠ - 4 319 žiakov - </t>
    </r>
    <r>
      <rPr>
        <b/>
        <u/>
        <sz val="11"/>
        <color rgb="FF000000"/>
        <rFont val="Calibri"/>
        <family val="2"/>
        <charset val="238"/>
      </rPr>
      <t>o 62 viac ako vlani</t>
    </r>
  </si>
  <si>
    <r>
      <t>IIŽ - 128 žiakov -</t>
    </r>
    <r>
      <rPr>
        <b/>
        <u/>
        <sz val="10"/>
        <color rgb="FF000000"/>
        <rFont val="Arial"/>
        <family val="2"/>
        <charset val="238"/>
      </rPr>
      <t xml:space="preserve"> o 31 viac ako vlani</t>
    </r>
  </si>
  <si>
    <t>Príloha č.22</t>
  </si>
  <si>
    <t>Rozpočtové organizácie v zriaďovateľskej pôsobnosti Mesta Trenčín:</t>
  </si>
  <si>
    <t>Dátum vzniku: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</si>
  <si>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</si>
  <si>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</si>
  <si>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</si>
  <si>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</si>
  <si>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</si>
  <si>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</si>
  <si>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</si>
  <si>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</si>
  <si>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</si>
  <si>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</si>
  <si>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</si>
  <si>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</si>
  <si>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</si>
  <si>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</si>
  <si>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Mesto Trenčín nemalo v roku 2018 zriadené príspevkové organizácie</t>
  </si>
  <si>
    <t>Príloha č. 23</t>
  </si>
  <si>
    <t>Výsledok hospodárenia Mesta Trenčín v metodike ESA 2010 za rok 2018</t>
  </si>
  <si>
    <t>Číslo riadku</t>
  </si>
  <si>
    <t>Ukazovateľ (hlavná kategória ekonomickej klasifikácie)</t>
  </si>
  <si>
    <t>Suma</t>
  </si>
  <si>
    <t>PRÍJMY (100+200+300) a príjmové finančné operácie (400+500)</t>
  </si>
  <si>
    <t>Daňové príjmy (100)</t>
  </si>
  <si>
    <t>Nedaňové príjmy (200)</t>
  </si>
  <si>
    <t>Granty a transfery (300)</t>
  </si>
  <si>
    <t>Príjmové finančné operácie (400+500)</t>
  </si>
  <si>
    <t xml:space="preserve"> - príjmy z transakcií s finančnými aktívami a finančnými pasívami (400)</t>
  </si>
  <si>
    <t xml:space="preserve"> - prijaté úvery, pôžičky a návratné finančné výpomoci (500)</t>
  </si>
  <si>
    <t>VÝDAVKY (600+700) a výdavkové finančné operácie (800)</t>
  </si>
  <si>
    <t>Bežné výdavky (600)</t>
  </si>
  <si>
    <t>Kapitálové výdavky (700)</t>
  </si>
  <si>
    <t>Výdavkové finančné operácie (800)</t>
  </si>
  <si>
    <t>Prebytok (+)/schodok (-) (r.1-r.8)</t>
  </si>
  <si>
    <t>Prebytok (+)/schodok (-) po vylučení príjmových a výdavkových finančných operácií  (r.1 - r.5 - r.8 + r.11)</t>
  </si>
  <si>
    <t>Zmena stavu vybraných pohľadávok (+,-) (r.15 - r.16)</t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</si>
  <si>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</si>
  <si>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pohľadávok  </t>
    </r>
    <r>
      <rPr>
        <sz val="8"/>
        <color rgb="FF000000"/>
        <rFont val="Arial"/>
        <family val="2"/>
        <charset val="238"/>
      </rPr>
      <t>k 31.12. predchádzajúceho obdobia</t>
    </r>
  </si>
  <si>
    <t>Zmena stavu vybraných záväzkov (+,-) (r.19 - r.18)</t>
  </si>
  <si>
    <r>
      <t xml:space="preserve">Stav vybraných záväzkov  </t>
    </r>
    <r>
      <rPr>
        <sz val="8"/>
        <color rgb="FF000000"/>
        <rFont val="Arial"/>
        <family val="2"/>
        <charset val="238"/>
      </rPr>
      <t>ku koncu sledovaného obdobia</t>
    </r>
  </si>
  <si>
    <r>
      <t xml:space="preserve">Stav vybraných záväzkov </t>
    </r>
    <r>
      <rPr>
        <sz val="8"/>
        <color rgb="FF000000"/>
        <rFont val="Arial"/>
        <family val="2"/>
        <charset val="238"/>
      </rPr>
      <t>k 31.12. predchádzajúceho obdobia</t>
    </r>
  </si>
  <si>
    <t>Zahrnutie položiek časového rozlíšenia (r.14 + r.17)</t>
  </si>
  <si>
    <t>Prebytok (+)/schodok (-) v metodike ESA 2010 (r.13 + r.20)</t>
  </si>
  <si>
    <t xml:space="preserve">V súlade s § 4, ods. 7 zákona č. 583/2004 o rozpočtových pravidlách územnej samosprávy v znení neskorších predpisov sa pre potreby vyčíslenia schodku rozpočtu obce alebo prebytku rozpočtu obce ako subjektu verejnej správy uplatňuje jednotná metodika platná pre Európsku úniu. </t>
  </si>
  <si>
    <t xml:space="preserve">Európsky systém národných a regionálnych účtov ESA 2010 je najnovší medzinárodne porovnateľný účtovný rámec EÚ pre systematický a podrobný opis ekonomiky. Je implementovaný od 1. septembra 2014 a prenos údajov z členských štátov do Eurostatu po tomto dátume sa riadi pravidlami Programu zasielania údajov ESA 2010. Štruktúra ESA 2010 je konzistentná s celosvetovými usmerneniami o národnom účtovníctve stanovenými v metodike pre systém národných účtov 2008 (SNA 2008), s výnimkou určitých rozdielov v prezentácii a vysokého stupňa presnosti niektorých pojmov ESA 2010, ktoré sa používajú na špecifické účely EÚ. </t>
  </si>
  <si>
    <t>Postup pre výpočet výsledku hospodárenia  v metodike ESA 2010 je uvedený na stránke Ministerstva financií 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</si>
</sst>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h]&quot;:&quot;mm&quot;:&quot;ss"/>
    <numFmt numFmtId="165" formatCode="&quot; &quot;#,##0.00&quot; &quot;;&quot;-&quot;#,##0.00&quot; &quot;;&quot; -&quot;00&quot; &quot;;&quot; &quot;@&quot; &quot;"/>
    <numFmt numFmtId="166" formatCode="#,##0.00&quot;  &quot;"/>
    <numFmt numFmtId="167" formatCode="0.0"/>
    <numFmt numFmtId="168" formatCode="#,##0.00&quot; &quot;[$€-41B];[Red]&quot;-&quot;#,##0.00&quot; &quot;[$€-41B]"/>
    <numFmt numFmtId="169" formatCode="d&quot;.&quot;m&quot;.&quot;yyyy"/>
    <numFmt numFmtId="170" formatCode="#,##0.00&quot; Sk&quot;"/>
    <numFmt numFmtId="171" formatCode="#,##0.00&quot; &quot;[$€-41B];&quot;-&quot;#,##0.00&quot; &quot;[$€-41B]"/>
    <numFmt numFmtId="172" formatCode="#,##0.00&quot; &quot;[$€-41B]"/>
    <numFmt numFmtId="173" formatCode="#,##0.00&quot; &quot;[$€-41B];[Red]#,##0.00&quot; &quot;[$€-41B]"/>
    <numFmt numFmtId="174" formatCode="#,##0.0"/>
  </numFmts>
  <fonts count="5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8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7030A0"/>
      <name val="Arial"/>
      <family val="2"/>
      <charset val="238"/>
    </font>
    <font>
      <b/>
      <sz val="13"/>
      <color rgb="FFFFFFFF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rgb="FF4472C4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FFFFFF"/>
      <name val="Arial CE"/>
      <charset val="238"/>
    </font>
    <font>
      <b/>
      <sz val="10"/>
      <color rgb="FF000000"/>
      <name val="Arial CE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Arial CE"/>
      <charset val="238"/>
    </font>
    <font>
      <b/>
      <sz val="15"/>
      <color rgb="FFC00000"/>
      <name val="Arial"/>
      <family val="2"/>
      <charset val="238"/>
    </font>
    <font>
      <sz val="10"/>
      <color rgb="FF000000"/>
      <name val="Arial CE"/>
      <charset val="238"/>
    </font>
    <font>
      <b/>
      <sz val="16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16"/>
      <color rgb="FFFFFFFF"/>
      <name val="Arial"/>
      <family val="2"/>
      <charset val="238"/>
    </font>
    <font>
      <b/>
      <sz val="12"/>
      <color rgb="FFC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color rgb="FF9933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C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C5D9F1"/>
        <bgColor rgb="FFC5D9F1"/>
      </patternFill>
    </fill>
    <fill>
      <patternFill patternType="solid">
        <fgColor rgb="FF538DD5"/>
        <bgColor rgb="FF538DD5"/>
      </patternFill>
    </fill>
    <fill>
      <patternFill patternType="solid">
        <fgColor rgb="FF8DB4E2"/>
        <bgColor rgb="FF8DB4E2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rgb="FF2F75B5"/>
        <bgColor rgb="FF2F75B5"/>
      </patternFill>
    </fill>
    <fill>
      <patternFill patternType="solid">
        <fgColor rgb="FFB4C6E7"/>
        <bgColor rgb="FFB4C6E7"/>
      </patternFill>
    </fill>
    <fill>
      <patternFill patternType="solid">
        <fgColor rgb="FFB8CCE4"/>
        <bgColor rgb="FFB8CCE4"/>
      </patternFill>
    </fill>
    <fill>
      <patternFill patternType="solid">
        <fgColor rgb="FF548235"/>
        <bgColor rgb="FF548235"/>
      </patternFill>
    </fill>
    <fill>
      <patternFill patternType="solid">
        <fgColor rgb="FFA9D08E"/>
        <bgColor rgb="FFA9D08E"/>
      </patternFill>
    </fill>
  </fills>
  <borders count="7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745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7" fillId="3" borderId="8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/>
    <xf numFmtId="3" fontId="6" fillId="2" borderId="10" xfId="0" applyNumberFormat="1" applyFont="1" applyFill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7" fillId="3" borderId="16" xfId="0" applyNumberFormat="1" applyFont="1" applyFill="1" applyBorder="1"/>
    <xf numFmtId="0" fontId="8" fillId="2" borderId="17" xfId="0" applyFont="1" applyFill="1" applyBorder="1" applyAlignment="1">
      <alignment horizontal="center"/>
    </xf>
    <xf numFmtId="0" fontId="6" fillId="2" borderId="18" xfId="0" applyFont="1" applyFill="1" applyBorder="1"/>
    <xf numFmtId="3" fontId="6" fillId="2" borderId="18" xfId="0" applyNumberFormat="1" applyFont="1" applyFill="1" applyBorder="1"/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0" fontId="2" fillId="0" borderId="0" xfId="0" applyFont="1"/>
    <xf numFmtId="0" fontId="6" fillId="4" borderId="21" xfId="0" applyFont="1" applyFill="1" applyBorder="1"/>
    <xf numFmtId="0" fontId="6" fillId="4" borderId="22" xfId="0" applyFont="1" applyFill="1" applyBorder="1"/>
    <xf numFmtId="3" fontId="6" fillId="4" borderId="23" xfId="0" applyNumberFormat="1" applyFont="1" applyFill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5" xfId="0" applyNumberFormat="1" applyFont="1" applyBorder="1" applyAlignment="1">
      <alignment horizontal="right"/>
    </xf>
    <xf numFmtId="0" fontId="2" fillId="0" borderId="26" xfId="0" applyFont="1" applyBorder="1"/>
    <xf numFmtId="0" fontId="2" fillId="0" borderId="27" xfId="0" applyFont="1" applyBorder="1"/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/>
    <xf numFmtId="0" fontId="2" fillId="0" borderId="30" xfId="0" applyFont="1" applyBorder="1"/>
    <xf numFmtId="3" fontId="2" fillId="0" borderId="31" xfId="0" applyNumberFormat="1" applyFont="1" applyBorder="1" applyAlignment="1">
      <alignment horizontal="right"/>
    </xf>
    <xf numFmtId="0" fontId="10" fillId="0" borderId="0" xfId="0" applyFont="1"/>
    <xf numFmtId="3" fontId="7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5" borderId="9" xfId="0" applyFont="1" applyFill="1" applyBorder="1" applyAlignment="1">
      <alignment horizontal="left" vertical="center" wrapText="1"/>
    </xf>
    <xf numFmtId="3" fontId="13" fillId="5" borderId="10" xfId="0" applyNumberFormat="1" applyFont="1" applyFill="1" applyBorder="1"/>
    <xf numFmtId="3" fontId="13" fillId="5" borderId="24" xfId="0" applyNumberFormat="1" applyFont="1" applyFill="1" applyBorder="1"/>
    <xf numFmtId="3" fontId="3" fillId="0" borderId="0" xfId="0" applyNumberFormat="1" applyFont="1"/>
    <xf numFmtId="0" fontId="13" fillId="5" borderId="5" xfId="0" applyFont="1" applyFill="1" applyBorder="1" applyAlignment="1">
      <alignment horizontal="left" vertical="center" wrapText="1"/>
    </xf>
    <xf numFmtId="3" fontId="13" fillId="5" borderId="6" xfId="0" applyNumberFormat="1" applyFont="1" applyFill="1" applyBorder="1"/>
    <xf numFmtId="3" fontId="13" fillId="5" borderId="25" xfId="0" applyNumberFormat="1" applyFont="1" applyFill="1" applyBorder="1"/>
    <xf numFmtId="0" fontId="11" fillId="0" borderId="5" xfId="0" applyFont="1" applyBorder="1" applyAlignment="1">
      <alignment horizontal="left" vertical="center" wrapText="1"/>
    </xf>
    <xf numFmtId="3" fontId="11" fillId="0" borderId="6" xfId="0" applyNumberFormat="1" applyFont="1" applyBorder="1"/>
    <xf numFmtId="3" fontId="11" fillId="0" borderId="25" xfId="0" applyNumberFormat="1" applyFont="1" applyBorder="1"/>
    <xf numFmtId="0" fontId="5" fillId="0" borderId="0" xfId="0" applyFont="1"/>
    <xf numFmtId="0" fontId="14" fillId="0" borderId="5" xfId="0" applyFont="1" applyBorder="1" applyAlignment="1">
      <alignment horizontal="left" vertical="center" wrapText="1"/>
    </xf>
    <xf numFmtId="3" fontId="15" fillId="0" borderId="6" xfId="0" applyNumberFormat="1" applyFont="1" applyBorder="1"/>
    <xf numFmtId="3" fontId="11" fillId="6" borderId="25" xfId="0" applyNumberFormat="1" applyFont="1" applyFill="1" applyBorder="1"/>
    <xf numFmtId="3" fontId="5" fillId="0" borderId="0" xfId="0" applyNumberFormat="1" applyFont="1"/>
    <xf numFmtId="0" fontId="6" fillId="2" borderId="5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/>
    <xf numFmtId="3" fontId="6" fillId="2" borderId="25" xfId="0" applyNumberFormat="1" applyFont="1" applyFill="1" applyBorder="1"/>
    <xf numFmtId="3" fontId="10" fillId="0" borderId="0" xfId="0" applyNumberFormat="1" applyFont="1"/>
    <xf numFmtId="0" fontId="3" fillId="0" borderId="0" xfId="0" applyFont="1" applyAlignment="1">
      <alignment vertical="center"/>
    </xf>
    <xf numFmtId="0" fontId="6" fillId="2" borderId="34" xfId="0" applyFont="1" applyFill="1" applyBorder="1" applyAlignment="1">
      <alignment horizontal="left" vertical="center" wrapText="1"/>
    </xf>
    <xf numFmtId="3" fontId="6" fillId="2" borderId="35" xfId="0" applyNumberFormat="1" applyFont="1" applyFill="1" applyBorder="1" applyAlignment="1">
      <alignment vertical="center"/>
    </xf>
    <xf numFmtId="3" fontId="6" fillId="2" borderId="31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 wrapText="1"/>
    </xf>
    <xf numFmtId="3" fontId="13" fillId="6" borderId="0" xfId="0" applyNumberFormat="1" applyFont="1" applyFill="1"/>
    <xf numFmtId="3" fontId="11" fillId="6" borderId="0" xfId="0" applyNumberFormat="1" applyFont="1" applyFill="1"/>
    <xf numFmtId="0" fontId="3" fillId="6" borderId="0" xfId="0" applyFont="1" applyFill="1"/>
    <xf numFmtId="0" fontId="13" fillId="6" borderId="5" xfId="0" applyFont="1" applyFill="1" applyBorder="1" applyAlignment="1">
      <alignment horizontal="left" vertical="center" wrapText="1"/>
    </xf>
    <xf numFmtId="3" fontId="11" fillId="6" borderId="6" xfId="0" applyNumberFormat="1" applyFont="1" applyFill="1" applyBorder="1"/>
    <xf numFmtId="3" fontId="6" fillId="6" borderId="0" xfId="0" applyNumberFormat="1" applyFont="1" applyFill="1"/>
    <xf numFmtId="3" fontId="6" fillId="6" borderId="0" xfId="0" applyNumberFormat="1" applyFont="1" applyFill="1" applyAlignment="1">
      <alignment vertical="center"/>
    </xf>
    <xf numFmtId="0" fontId="12" fillId="2" borderId="36" xfId="0" applyFont="1" applyFill="1" applyBorder="1" applyAlignment="1">
      <alignment horizontal="center" vertical="center" wrapText="1"/>
    </xf>
    <xf numFmtId="3" fontId="13" fillId="5" borderId="37" xfId="0" applyNumberFormat="1" applyFont="1" applyFill="1" applyBorder="1"/>
    <xf numFmtId="3" fontId="13" fillId="5" borderId="38" xfId="0" applyNumberFormat="1" applyFont="1" applyFill="1" applyBorder="1"/>
    <xf numFmtId="3" fontId="11" fillId="0" borderId="38" xfId="0" applyNumberFormat="1" applyFont="1" applyBorder="1"/>
    <xf numFmtId="3" fontId="13" fillId="6" borderId="6" xfId="0" applyNumberFormat="1" applyFont="1" applyFill="1" applyBorder="1"/>
    <xf numFmtId="3" fontId="13" fillId="6" borderId="25" xfId="0" applyNumberFormat="1" applyFont="1" applyFill="1" applyBorder="1"/>
    <xf numFmtId="0" fontId="6" fillId="2" borderId="23" xfId="0" applyFont="1" applyFill="1" applyBorder="1" applyAlignment="1">
      <alignment horizontal="center" vertical="center" wrapText="1"/>
    </xf>
    <xf numFmtId="3" fontId="6" fillId="2" borderId="24" xfId="0" applyNumberFormat="1" applyFont="1" applyFill="1" applyBorder="1"/>
    <xf numFmtId="3" fontId="10" fillId="0" borderId="25" xfId="0" applyNumberFormat="1" applyFont="1" applyBorder="1"/>
    <xf numFmtId="3" fontId="7" fillId="6" borderId="25" xfId="0" applyNumberFormat="1" applyFont="1" applyFill="1" applyBorder="1"/>
    <xf numFmtId="0" fontId="0" fillId="0" borderId="0" xfId="0" applyAlignment="1">
      <alignment vertical="center"/>
    </xf>
    <xf numFmtId="164" fontId="14" fillId="2" borderId="17" xfId="0" applyNumberFormat="1" applyFont="1" applyFill="1" applyBorder="1" applyAlignment="1">
      <alignment horizontal="left" vertical="center" wrapText="1"/>
    </xf>
    <xf numFmtId="3" fontId="14" fillId="2" borderId="18" xfId="0" applyNumberFormat="1" applyFont="1" applyFill="1" applyBorder="1" applyAlignment="1">
      <alignment vertical="center"/>
    </xf>
    <xf numFmtId="3" fontId="6" fillId="2" borderId="3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/>
    <xf numFmtId="3" fontId="17" fillId="2" borderId="23" xfId="0" applyNumberFormat="1" applyFont="1" applyFill="1" applyBorder="1" applyAlignment="1">
      <alignment vertical="center"/>
    </xf>
    <xf numFmtId="3" fontId="7" fillId="5" borderId="24" xfId="0" applyNumberFormat="1" applyFont="1" applyFill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3" fontId="7" fillId="5" borderId="25" xfId="0" applyNumberFormat="1" applyFont="1" applyFill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25" xfId="0" applyNumberFormat="1" applyFont="1" applyBorder="1" applyAlignment="1" applyProtection="1">
      <alignment horizontal="right"/>
      <protection locked="0"/>
    </xf>
    <xf numFmtId="3" fontId="11" fillId="0" borderId="31" xfId="0" applyNumberFormat="1" applyFont="1" applyBorder="1" applyAlignment="1">
      <alignment horizontal="right"/>
    </xf>
    <xf numFmtId="0" fontId="13" fillId="5" borderId="13" xfId="0" applyFont="1" applyFill="1" applyBorder="1" applyAlignment="1">
      <alignment horizontal="left" vertical="center" wrapText="1"/>
    </xf>
    <xf numFmtId="3" fontId="13" fillId="5" borderId="14" xfId="0" applyNumberFormat="1" applyFont="1" applyFill="1" applyBorder="1"/>
    <xf numFmtId="0" fontId="18" fillId="2" borderId="17" xfId="0" applyFont="1" applyFill="1" applyBorder="1" applyAlignment="1">
      <alignment horizontal="left" vertical="center" wrapText="1"/>
    </xf>
    <xf numFmtId="3" fontId="6" fillId="2" borderId="18" xfId="0" applyNumberFormat="1" applyFont="1" applyFill="1" applyBorder="1" applyAlignment="1">
      <alignment vertical="center"/>
    </xf>
    <xf numFmtId="0" fontId="12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3" fontId="13" fillId="5" borderId="44" xfId="0" applyNumberFormat="1" applyFont="1" applyFill="1" applyBorder="1"/>
    <xf numFmtId="3" fontId="13" fillId="5" borderId="12" xfId="0" applyNumberFormat="1" applyFont="1" applyFill="1" applyBorder="1"/>
    <xf numFmtId="3" fontId="13" fillId="5" borderId="7" xfId="0" applyNumberFormat="1" applyFont="1" applyFill="1" applyBorder="1"/>
    <xf numFmtId="3" fontId="13" fillId="5" borderId="8" xfId="0" applyNumberFormat="1" applyFont="1" applyFill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3" fontId="13" fillId="5" borderId="15" xfId="0" applyNumberFormat="1" applyFont="1" applyFill="1" applyBorder="1"/>
    <xf numFmtId="3" fontId="13" fillId="5" borderId="16" xfId="0" applyNumberFormat="1" applyFont="1" applyFill="1" applyBorder="1"/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vertical="center"/>
    </xf>
    <xf numFmtId="3" fontId="14" fillId="2" borderId="18" xfId="0" applyNumberFormat="1" applyFont="1" applyFill="1" applyBorder="1"/>
    <xf numFmtId="0" fontId="2" fillId="0" borderId="0" xfId="0" applyFont="1" applyAlignment="1">
      <alignment horizontal="right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/>
    </xf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3" fontId="2" fillId="0" borderId="4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2" borderId="32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vertical="center"/>
    </xf>
    <xf numFmtId="3" fontId="13" fillId="5" borderId="24" xfId="0" applyNumberFormat="1" applyFont="1" applyFill="1" applyBorder="1" applyAlignment="1">
      <alignment vertical="center"/>
    </xf>
    <xf numFmtId="3" fontId="13" fillId="5" borderId="6" xfId="0" applyNumberFormat="1" applyFont="1" applyFill="1" applyBorder="1" applyAlignment="1">
      <alignment vertical="center"/>
    </xf>
    <xf numFmtId="3" fontId="13" fillId="5" borderId="25" xfId="0" applyNumberFormat="1" applyFont="1" applyFill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5" borderId="28" xfId="0" applyNumberFormat="1" applyFont="1" applyFill="1" applyBorder="1"/>
    <xf numFmtId="0" fontId="18" fillId="2" borderId="51" xfId="0" applyFont="1" applyFill="1" applyBorder="1" applyAlignment="1">
      <alignment horizontal="left" vertical="center" wrapText="1"/>
    </xf>
    <xf numFmtId="3" fontId="18" fillId="2" borderId="52" xfId="0" applyNumberFormat="1" applyFont="1" applyFill="1" applyBorder="1" applyAlignment="1">
      <alignment vertical="center"/>
    </xf>
    <xf numFmtId="3" fontId="18" fillId="2" borderId="53" xfId="0" applyNumberFormat="1" applyFont="1" applyFill="1" applyBorder="1" applyAlignment="1">
      <alignment vertical="center"/>
    </xf>
    <xf numFmtId="0" fontId="13" fillId="5" borderId="54" xfId="0" applyFont="1" applyFill="1" applyBorder="1" applyAlignment="1">
      <alignment horizontal="left" vertical="center" wrapText="1"/>
    </xf>
    <xf numFmtId="3" fontId="13" fillId="5" borderId="55" xfId="0" applyNumberFormat="1" applyFont="1" applyFill="1" applyBorder="1"/>
    <xf numFmtId="3" fontId="13" fillId="5" borderId="49" xfId="0" applyNumberFormat="1" applyFont="1" applyFill="1" applyBorder="1"/>
    <xf numFmtId="0" fontId="18" fillId="2" borderId="56" xfId="0" applyFont="1" applyFill="1" applyBorder="1" applyAlignment="1">
      <alignment horizontal="left" vertical="center" wrapText="1"/>
    </xf>
    <xf numFmtId="3" fontId="18" fillId="2" borderId="57" xfId="0" applyNumberFormat="1" applyFont="1" applyFill="1" applyBorder="1" applyAlignment="1">
      <alignment vertical="center"/>
    </xf>
    <xf numFmtId="3" fontId="18" fillId="2" borderId="5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2" applyFont="1" applyFill="1" applyAlignment="1"/>
    <xf numFmtId="0" fontId="2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9" fillId="0" borderId="0" xfId="2" applyFont="1" applyFill="1" applyAlignment="1"/>
    <xf numFmtId="0" fontId="20" fillId="0" borderId="0" xfId="2" applyFont="1" applyFill="1" applyAlignment="1"/>
    <xf numFmtId="0" fontId="18" fillId="2" borderId="9" xfId="2" applyFont="1" applyFill="1" applyBorder="1" applyAlignment="1">
      <alignment horizontal="left"/>
    </xf>
    <xf numFmtId="3" fontId="10" fillId="7" borderId="10" xfId="2" applyNumberFormat="1" applyFont="1" applyFill="1" applyBorder="1" applyAlignment="1">
      <alignment horizontal="center"/>
    </xf>
    <xf numFmtId="3" fontId="10" fillId="8" borderId="10" xfId="2" applyNumberFormat="1" applyFont="1" applyFill="1" applyBorder="1" applyAlignment="1">
      <alignment horizontal="right"/>
    </xf>
    <xf numFmtId="3" fontId="2" fillId="0" borderId="10" xfId="2" applyNumberFormat="1" applyFont="1" applyFill="1" applyBorder="1" applyAlignment="1">
      <alignment horizontal="right"/>
    </xf>
    <xf numFmtId="3" fontId="10" fillId="5" borderId="24" xfId="2" applyNumberFormat="1" applyFont="1" applyFill="1" applyBorder="1" applyAlignment="1">
      <alignment horizontal="right"/>
    </xf>
    <xf numFmtId="0" fontId="18" fillId="2" borderId="5" xfId="2" applyFont="1" applyFill="1" applyBorder="1" applyAlignment="1">
      <alignment horizontal="left"/>
    </xf>
    <xf numFmtId="3" fontId="10" fillId="7" borderId="6" xfId="2" applyNumberFormat="1" applyFont="1" applyFill="1" applyBorder="1" applyAlignment="1">
      <alignment horizontal="center"/>
    </xf>
    <xf numFmtId="3" fontId="10" fillId="8" borderId="6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/>
    <xf numFmtId="3" fontId="10" fillId="5" borderId="25" xfId="2" applyNumberFormat="1" applyFont="1" applyFill="1" applyBorder="1" applyAlignment="1">
      <alignment horizontal="right"/>
    </xf>
    <xf numFmtId="0" fontId="0" fillId="0" borderId="0" xfId="4" applyFont="1" applyFill="1" applyAlignment="1"/>
    <xf numFmtId="0" fontId="18" fillId="2" borderId="13" xfId="2" applyFont="1" applyFill="1" applyBorder="1" applyAlignment="1">
      <alignment horizontal="left"/>
    </xf>
    <xf numFmtId="3" fontId="10" fillId="7" borderId="14" xfId="2" applyNumberFormat="1" applyFont="1" applyFill="1" applyBorder="1" applyAlignment="1">
      <alignment horizontal="center"/>
    </xf>
    <xf numFmtId="3" fontId="10" fillId="8" borderId="14" xfId="2" applyNumberFormat="1" applyFont="1" applyFill="1" applyBorder="1" applyAlignment="1">
      <alignment horizontal="right"/>
    </xf>
    <xf numFmtId="3" fontId="2" fillId="0" borderId="14" xfId="2" applyNumberFormat="1" applyFont="1" applyFill="1" applyBorder="1" applyAlignment="1">
      <alignment horizontal="right"/>
    </xf>
    <xf numFmtId="3" fontId="2" fillId="0" borderId="14" xfId="2" applyNumberFormat="1" applyFont="1" applyFill="1" applyBorder="1" applyAlignment="1"/>
    <xf numFmtId="3" fontId="10" fillId="5" borderId="28" xfId="2" applyNumberFormat="1" applyFont="1" applyFill="1" applyBorder="1" applyAlignment="1">
      <alignment horizontal="right"/>
    </xf>
    <xf numFmtId="3" fontId="0" fillId="0" borderId="0" xfId="4" applyNumberFormat="1" applyFont="1" applyFill="1" applyAlignment="1"/>
    <xf numFmtId="0" fontId="2" fillId="0" borderId="0" xfId="2" applyFont="1" applyFill="1" applyAlignment="1">
      <alignment vertical="center"/>
    </xf>
    <xf numFmtId="0" fontId="18" fillId="2" borderId="17" xfId="2" applyFont="1" applyFill="1" applyBorder="1" applyAlignment="1">
      <alignment horizontal="center" vertical="center"/>
    </xf>
    <xf numFmtId="3" fontId="18" fillId="2" borderId="18" xfId="2" applyNumberFormat="1" applyFont="1" applyFill="1" applyBorder="1" applyAlignment="1">
      <alignment horizontal="center" vertical="center"/>
    </xf>
    <xf numFmtId="3" fontId="18" fillId="2" borderId="18" xfId="2" applyNumberFormat="1" applyFont="1" applyFill="1" applyBorder="1" applyAlignment="1">
      <alignment horizontal="right" vertical="center"/>
    </xf>
    <xf numFmtId="3" fontId="18" fillId="2" borderId="39" xfId="2" applyNumberFormat="1" applyFont="1" applyFill="1" applyBorder="1" applyAlignment="1">
      <alignment horizontal="right" vertical="center"/>
    </xf>
    <xf numFmtId="0" fontId="18" fillId="2" borderId="60" xfId="2" applyFont="1" applyFill="1" applyBorder="1" applyAlignment="1">
      <alignment horizontal="left"/>
    </xf>
    <xf numFmtId="3" fontId="10" fillId="7" borderId="61" xfId="2" applyNumberFormat="1" applyFont="1" applyFill="1" applyBorder="1" applyAlignment="1">
      <alignment horizontal="center"/>
    </xf>
    <xf numFmtId="3" fontId="10" fillId="8" borderId="61" xfId="2" applyNumberFormat="1" applyFont="1" applyFill="1" applyBorder="1" applyAlignment="1">
      <alignment horizontal="right"/>
    </xf>
    <xf numFmtId="3" fontId="2" fillId="8" borderId="61" xfId="2" applyNumberFormat="1" applyFont="1" applyFill="1" applyBorder="1" applyAlignment="1">
      <alignment horizontal="right"/>
    </xf>
    <xf numFmtId="3" fontId="2" fillId="0" borderId="61" xfId="2" applyNumberFormat="1" applyFont="1" applyFill="1" applyBorder="1" applyAlignment="1">
      <alignment horizontal="right"/>
    </xf>
    <xf numFmtId="3" fontId="10" fillId="0" borderId="61" xfId="2" applyNumberFormat="1" applyFont="1" applyFill="1" applyBorder="1" applyAlignment="1">
      <alignment horizontal="right"/>
    </xf>
    <xf numFmtId="3" fontId="10" fillId="5" borderId="62" xfId="2" applyNumberFormat="1" applyFont="1" applyFill="1" applyBorder="1" applyAlignment="1">
      <alignment horizontal="right"/>
    </xf>
    <xf numFmtId="3" fontId="2" fillId="0" borderId="0" xfId="2" applyNumberFormat="1" applyFont="1" applyFill="1" applyAlignment="1"/>
    <xf numFmtId="3" fontId="2" fillId="0" borderId="10" xfId="2" applyNumberFormat="1" applyFont="1" applyFill="1" applyBorder="1" applyAlignment="1"/>
    <xf numFmtId="0" fontId="10" fillId="0" borderId="0" xfId="2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right" vertical="center"/>
    </xf>
    <xf numFmtId="3" fontId="10" fillId="0" borderId="6" xfId="2" applyNumberFormat="1" applyFont="1" applyFill="1" applyBorder="1" applyAlignment="1"/>
    <xf numFmtId="3" fontId="2" fillId="0" borderId="0" xfId="2" applyNumberFormat="1" applyFont="1" applyFill="1" applyAlignment="1">
      <alignment vertical="center"/>
    </xf>
    <xf numFmtId="0" fontId="0" fillId="0" borderId="0" xfId="0" applyFill="1"/>
    <xf numFmtId="0" fontId="4" fillId="0" borderId="0" xfId="0" applyFont="1"/>
    <xf numFmtId="0" fontId="18" fillId="2" borderId="55" xfId="0" applyFont="1" applyFill="1" applyBorder="1" applyAlignment="1">
      <alignment horizontal="left" vertical="center"/>
    </xf>
    <xf numFmtId="3" fontId="2" fillId="0" borderId="63" xfId="0" applyNumberFormat="1" applyFont="1" applyBorder="1"/>
    <xf numFmtId="3" fontId="2" fillId="0" borderId="6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3" fontId="18" fillId="2" borderId="63" xfId="0" applyNumberFormat="1" applyFont="1" applyFill="1" applyBorder="1" applyAlignment="1">
      <alignment vertical="center"/>
    </xf>
    <xf numFmtId="0" fontId="14" fillId="2" borderId="55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left" vertical="center" wrapText="1"/>
    </xf>
    <xf numFmtId="3" fontId="10" fillId="3" borderId="63" xfId="0" applyNumberFormat="1" applyFont="1" applyFill="1" applyBorder="1"/>
    <xf numFmtId="0" fontId="10" fillId="3" borderId="6" xfId="0" applyFont="1" applyFill="1" applyBorder="1" applyAlignment="1">
      <alignment horizontal="left" vertical="center" wrapText="1"/>
    </xf>
    <xf numFmtId="3" fontId="10" fillId="3" borderId="6" xfId="0" applyNumberFormat="1" applyFont="1" applyFill="1" applyBorder="1"/>
    <xf numFmtId="0" fontId="2" fillId="0" borderId="6" xfId="0" applyFont="1" applyBorder="1" applyAlignment="1">
      <alignment horizontal="left" vertical="center" wrapText="1"/>
    </xf>
    <xf numFmtId="0" fontId="10" fillId="3" borderId="55" xfId="0" applyFont="1" applyFill="1" applyBorder="1" applyAlignment="1">
      <alignment horizontal="left" vertical="center" wrapText="1"/>
    </xf>
    <xf numFmtId="3" fontId="10" fillId="3" borderId="55" xfId="0" applyNumberFormat="1" applyFont="1" applyFill="1" applyBorder="1"/>
    <xf numFmtId="0" fontId="18" fillId="2" borderId="63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0" fillId="3" borderId="14" xfId="0" applyFont="1" applyFill="1" applyBorder="1" applyAlignment="1">
      <alignment horizontal="left" vertical="center" wrapText="1"/>
    </xf>
    <xf numFmtId="3" fontId="10" fillId="3" borderId="14" xfId="0" applyNumberFormat="1" applyFont="1" applyFill="1" applyBorder="1"/>
    <xf numFmtId="0" fontId="2" fillId="0" borderId="7" xfId="0" applyFont="1" applyBorder="1"/>
    <xf numFmtId="0" fontId="2" fillId="0" borderId="65" xfId="0" applyFont="1" applyBorder="1"/>
    <xf numFmtId="0" fontId="2" fillId="0" borderId="38" xfId="0" applyFont="1" applyBorder="1"/>
    <xf numFmtId="3" fontId="2" fillId="0" borderId="6" xfId="0" applyNumberFormat="1" applyFont="1" applyBorder="1" applyAlignment="1">
      <alignment horizontal="right"/>
    </xf>
    <xf numFmtId="0" fontId="2" fillId="0" borderId="66" xfId="0" applyFont="1" applyBorder="1"/>
    <xf numFmtId="3" fontId="2" fillId="0" borderId="55" xfId="0" applyNumberFormat="1" applyFont="1" applyBorder="1" applyAlignment="1">
      <alignment horizontal="right"/>
    </xf>
    <xf numFmtId="0" fontId="10" fillId="2" borderId="63" xfId="0" applyFont="1" applyFill="1" applyBorder="1" applyAlignment="1">
      <alignment horizontal="left" vertical="center" wrapText="1"/>
    </xf>
    <xf numFmtId="3" fontId="10" fillId="2" borderId="63" xfId="0" applyNumberFormat="1" applyFont="1" applyFill="1" applyBorder="1" applyAlignment="1">
      <alignment vertical="center"/>
    </xf>
    <xf numFmtId="0" fontId="2" fillId="0" borderId="15" xfId="0" applyFont="1" applyBorder="1"/>
    <xf numFmtId="0" fontId="2" fillId="0" borderId="64" xfId="0" applyFont="1" applyBorder="1"/>
    <xf numFmtId="3" fontId="2" fillId="0" borderId="14" xfId="0" applyNumberFormat="1" applyFont="1" applyBorder="1" applyAlignment="1">
      <alignment horizontal="right"/>
    </xf>
    <xf numFmtId="3" fontId="2" fillId="0" borderId="63" xfId="0" applyNumberFormat="1" applyFont="1" applyBorder="1" applyAlignment="1">
      <alignment horizontal="right"/>
    </xf>
    <xf numFmtId="3" fontId="18" fillId="2" borderId="63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3" fontId="2" fillId="0" borderId="55" xfId="0" applyNumberFormat="1" applyFont="1" applyBorder="1"/>
    <xf numFmtId="4" fontId="2" fillId="0" borderId="0" xfId="0" applyNumberFormat="1" applyFont="1" applyAlignment="1">
      <alignment horizontal="right"/>
    </xf>
    <xf numFmtId="164" fontId="10" fillId="3" borderId="6" xfId="0" applyNumberFormat="1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6" fillId="2" borderId="63" xfId="0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3" fontId="6" fillId="2" borderId="63" xfId="0" applyNumberFormat="1" applyFont="1" applyFill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2" fillId="0" borderId="67" xfId="0" applyNumberFormat="1" applyFont="1" applyBorder="1"/>
    <xf numFmtId="0" fontId="6" fillId="2" borderId="63" xfId="0" applyFont="1" applyFill="1" applyBorder="1" applyAlignment="1">
      <alignment horizontal="left" vertical="center" wrapText="1"/>
    </xf>
    <xf numFmtId="3" fontId="10" fillId="0" borderId="67" xfId="0" applyNumberFormat="1" applyFont="1" applyBorder="1"/>
    <xf numFmtId="3" fontId="6" fillId="2" borderId="63" xfId="0" applyNumberFormat="1" applyFont="1" applyFill="1" applyBorder="1"/>
    <xf numFmtId="0" fontId="11" fillId="0" borderId="68" xfId="0" applyFont="1" applyBorder="1" applyAlignment="1">
      <alignment horizontal="center"/>
    </xf>
    <xf numFmtId="0" fontId="11" fillId="0" borderId="68" xfId="0" applyFont="1" applyBorder="1"/>
    <xf numFmtId="4" fontId="11" fillId="0" borderId="68" xfId="0" applyNumberFormat="1" applyFont="1" applyBorder="1"/>
    <xf numFmtId="0" fontId="14" fillId="2" borderId="1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69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3" fontId="10" fillId="3" borderId="25" xfId="0" applyNumberFormat="1" applyFont="1" applyFill="1" applyBorder="1" applyAlignment="1">
      <alignment vertical="center"/>
    </xf>
    <xf numFmtId="0" fontId="2" fillId="0" borderId="6" xfId="8" applyFont="1" applyFill="1" applyBorder="1" applyAlignment="1"/>
    <xf numFmtId="4" fontId="2" fillId="0" borderId="6" xfId="8" applyNumberFormat="1" applyFont="1" applyFill="1" applyBorder="1" applyAlignment="1"/>
    <xf numFmtId="4" fontId="2" fillId="0" borderId="25" xfId="8" applyNumberFormat="1" applyFont="1" applyFill="1" applyBorder="1" applyAlignment="1"/>
    <xf numFmtId="3" fontId="7" fillId="3" borderId="6" xfId="0" applyNumberFormat="1" applyFont="1" applyFill="1" applyBorder="1" applyAlignment="1">
      <alignment vertical="center"/>
    </xf>
    <xf numFmtId="3" fontId="7" fillId="3" borderId="25" xfId="0" applyNumberFormat="1" applyFont="1" applyFill="1" applyBorder="1" applyAlignment="1">
      <alignment vertical="center"/>
    </xf>
    <xf numFmtId="0" fontId="2" fillId="0" borderId="6" xfId="9" applyFont="1" applyFill="1" applyBorder="1" applyAlignment="1"/>
    <xf numFmtId="4" fontId="2" fillId="0" borderId="6" xfId="9" applyNumberFormat="1" applyFont="1" applyFill="1" applyBorder="1" applyAlignment="1"/>
    <xf numFmtId="4" fontId="2" fillId="0" borderId="25" xfId="9" applyNumberFormat="1" applyFont="1" applyFill="1" applyBorder="1" applyAlignment="1"/>
    <xf numFmtId="0" fontId="21" fillId="0" borderId="0" xfId="0" applyFont="1"/>
    <xf numFmtId="0" fontId="2" fillId="0" borderId="6" xfId="9" applyFont="1" applyFill="1" applyBorder="1" applyAlignment="1">
      <alignment vertical="center" wrapText="1"/>
    </xf>
    <xf numFmtId="0" fontId="2" fillId="0" borderId="6" xfId="9" applyFont="1" applyFill="1" applyBorder="1" applyAlignment="1">
      <alignment horizontal="left" vertical="center"/>
    </xf>
    <xf numFmtId="4" fontId="2" fillId="0" borderId="6" xfId="9" applyNumberFormat="1" applyFont="1" applyFill="1" applyBorder="1" applyAlignment="1">
      <alignment vertical="center"/>
    </xf>
    <xf numFmtId="4" fontId="2" fillId="0" borderId="25" xfId="9" applyNumberFormat="1" applyFont="1" applyFill="1" applyBorder="1" applyAlignment="1">
      <alignment vertical="center"/>
    </xf>
    <xf numFmtId="0" fontId="2" fillId="0" borderId="6" xfId="9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6" borderId="6" xfId="9" applyFont="1" applyFill="1" applyBorder="1" applyAlignment="1">
      <alignment vertical="center" wrapText="1"/>
    </xf>
    <xf numFmtId="4" fontId="2" fillId="0" borderId="6" xfId="9" applyNumberFormat="1" applyFont="1" applyFill="1" applyBorder="1" applyAlignment="1">
      <alignment vertical="center" wrapText="1"/>
    </xf>
    <xf numFmtId="4" fontId="2" fillId="0" borderId="25" xfId="9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2" fillId="0" borderId="6" xfId="9" applyNumberFormat="1" applyFont="1" applyFill="1" applyBorder="1" applyAlignment="1">
      <alignment horizontal="right"/>
    </xf>
    <xf numFmtId="0" fontId="2" fillId="0" borderId="6" xfId="9" applyFont="1" applyFill="1" applyBorder="1" applyAlignment="1">
      <alignment wrapText="1"/>
    </xf>
    <xf numFmtId="3" fontId="24" fillId="2" borderId="35" xfId="0" applyNumberFormat="1" applyFont="1" applyFill="1" applyBorder="1" applyAlignment="1">
      <alignment vertical="center"/>
    </xf>
    <xf numFmtId="3" fontId="24" fillId="2" borderId="3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textRotation="180"/>
    </xf>
    <xf numFmtId="4" fontId="3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/>
    <xf numFmtId="3" fontId="11" fillId="0" borderId="0" xfId="0" applyNumberFormat="1" applyFont="1"/>
    <xf numFmtId="3" fontId="14" fillId="2" borderId="2" xfId="0" applyNumberFormat="1" applyFont="1" applyFill="1" applyBorder="1" applyAlignment="1">
      <alignment horizontal="center" vertical="center" wrapText="1"/>
    </xf>
    <xf numFmtId="0" fontId="2" fillId="0" borderId="6" xfId="10" applyFont="1" applyFill="1" applyBorder="1" applyAlignment="1"/>
    <xf numFmtId="4" fontId="2" fillId="0" borderId="6" xfId="10" applyNumberFormat="1" applyFont="1" applyFill="1" applyBorder="1" applyAlignment="1"/>
    <xf numFmtId="4" fontId="2" fillId="0" borderId="25" xfId="10" applyNumberFormat="1" applyFont="1" applyFill="1" applyBorder="1" applyAlignment="1"/>
    <xf numFmtId="0" fontId="3" fillId="0" borderId="0" xfId="0" applyFont="1" applyFill="1" applyAlignment="1">
      <alignment vertical="center"/>
    </xf>
    <xf numFmtId="0" fontId="2" fillId="0" borderId="6" xfId="10" applyFont="1" applyFill="1" applyBorder="1" applyAlignment="1">
      <alignment vertical="center"/>
    </xf>
    <xf numFmtId="0" fontId="2" fillId="0" borderId="6" xfId="10" applyFont="1" applyFill="1" applyBorder="1" applyAlignment="1">
      <alignment vertical="center" wrapText="1"/>
    </xf>
    <xf numFmtId="4" fontId="2" fillId="0" borderId="6" xfId="10" applyNumberFormat="1" applyFont="1" applyFill="1" applyBorder="1" applyAlignment="1">
      <alignment vertical="center"/>
    </xf>
    <xf numFmtId="4" fontId="2" fillId="0" borderId="25" xfId="1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3" fontId="2" fillId="0" borderId="0" xfId="0" applyNumberFormat="1" applyFont="1" applyAlignment="1">
      <alignment horizontal="right" textRotation="180"/>
    </xf>
    <xf numFmtId="0" fontId="22" fillId="0" borderId="0" xfId="0" applyFont="1"/>
    <xf numFmtId="0" fontId="3" fillId="0" borderId="0" xfId="11" applyFont="1" applyFill="1" applyAlignment="1"/>
    <xf numFmtId="0" fontId="3" fillId="0" borderId="0" xfId="11" applyFont="1" applyFill="1" applyAlignment="1">
      <alignment horizontal="center"/>
    </xf>
    <xf numFmtId="0" fontId="2" fillId="0" borderId="0" xfId="11" applyFont="1" applyFill="1" applyAlignment="1">
      <alignment horizontal="right" vertical="center"/>
    </xf>
    <xf numFmtId="0" fontId="6" fillId="2" borderId="1" xfId="11" applyFont="1" applyFill="1" applyBorder="1" applyAlignment="1">
      <alignment horizontal="center" vertical="center"/>
    </xf>
    <xf numFmtId="0" fontId="6" fillId="2" borderId="2" xfId="11" applyFont="1" applyFill="1" applyBorder="1" applyAlignment="1">
      <alignment vertical="center"/>
    </xf>
    <xf numFmtId="0" fontId="6" fillId="2" borderId="69" xfId="11" applyFont="1" applyFill="1" applyBorder="1" applyAlignment="1">
      <alignment horizontal="center" vertical="center" wrapText="1"/>
    </xf>
    <xf numFmtId="4" fontId="7" fillId="6" borderId="0" xfId="11" applyNumberFormat="1" applyFont="1" applyFill="1" applyAlignment="1">
      <alignment horizontal="center" vertical="center" wrapText="1"/>
    </xf>
    <xf numFmtId="0" fontId="2" fillId="0" borderId="5" xfId="11" applyFont="1" applyFill="1" applyBorder="1" applyAlignment="1">
      <alignment horizontal="center"/>
    </xf>
    <xf numFmtId="0" fontId="2" fillId="0" borderId="6" xfId="11" applyFont="1" applyFill="1" applyBorder="1" applyAlignment="1"/>
    <xf numFmtId="3" fontId="2" fillId="0" borderId="25" xfId="11" applyNumberFormat="1" applyFont="1" applyFill="1" applyBorder="1" applyAlignment="1"/>
    <xf numFmtId="0" fontId="3" fillId="0" borderId="0" xfId="11" applyFont="1" applyFill="1" applyAlignment="1">
      <alignment vertical="center"/>
    </xf>
    <xf numFmtId="3" fontId="2" fillId="0" borderId="25" xfId="11" applyNumberFormat="1" applyFont="1" applyFill="1" applyBorder="1" applyAlignment="1">
      <alignment wrapText="1"/>
    </xf>
    <xf numFmtId="0" fontId="3" fillId="0" borderId="34" xfId="11" applyFont="1" applyFill="1" applyBorder="1" applyAlignment="1"/>
    <xf numFmtId="0" fontId="17" fillId="2" borderId="35" xfId="11" applyFont="1" applyFill="1" applyBorder="1" applyAlignment="1">
      <alignment vertical="center"/>
    </xf>
    <xf numFmtId="3" fontId="17" fillId="2" borderId="31" xfId="11" applyNumberFormat="1" applyFont="1" applyFill="1" applyBorder="1" applyAlignment="1">
      <alignment horizontal="right" vertical="center"/>
    </xf>
    <xf numFmtId="0" fontId="4" fillId="0" borderId="0" xfId="11" applyFont="1" applyFill="1" applyAlignment="1">
      <alignment horizontal="center" vertical="center"/>
    </xf>
    <xf numFmtId="0" fontId="28" fillId="6" borderId="0" xfId="11" applyFont="1" applyFill="1" applyAlignment="1">
      <alignment horizontal="left" vertical="center"/>
    </xf>
    <xf numFmtId="0" fontId="6" fillId="2" borderId="33" xfId="11" applyFont="1" applyFill="1" applyBorder="1" applyAlignment="1">
      <alignment vertical="center"/>
    </xf>
    <xf numFmtId="0" fontId="6" fillId="2" borderId="23" xfId="11" applyFont="1" applyFill="1" applyBorder="1" applyAlignment="1">
      <alignment horizontal="center" vertical="center" wrapText="1"/>
    </xf>
    <xf numFmtId="0" fontId="2" fillId="0" borderId="5" xfId="11" applyFont="1" applyFill="1" applyBorder="1" applyAlignment="1">
      <alignment horizontal="center" vertical="center"/>
    </xf>
    <xf numFmtId="0" fontId="2" fillId="0" borderId="2" xfId="11" applyFont="1" applyFill="1" applyBorder="1" applyAlignment="1">
      <alignment horizontal="left" vertical="center" wrapText="1"/>
    </xf>
    <xf numFmtId="166" fontId="2" fillId="0" borderId="69" xfId="11" applyNumberFormat="1" applyFont="1" applyFill="1" applyBorder="1" applyAlignment="1">
      <alignment horizontal="right" vertical="center" wrapText="1"/>
    </xf>
    <xf numFmtId="0" fontId="2" fillId="0" borderId="6" xfId="11" applyFont="1" applyFill="1" applyBorder="1" applyAlignment="1">
      <alignment horizontal="left" vertical="center" wrapText="1"/>
    </xf>
    <xf numFmtId="166" fontId="2" fillId="0" borderId="25" xfId="11" applyNumberFormat="1" applyFont="1" applyFill="1" applyBorder="1" applyAlignment="1">
      <alignment horizontal="right" vertical="center" wrapText="1"/>
    </xf>
    <xf numFmtId="0" fontId="2" fillId="0" borderId="6" xfId="11" applyFont="1" applyFill="1" applyBorder="1" applyAlignment="1">
      <alignment wrapText="1"/>
    </xf>
    <xf numFmtId="0" fontId="2" fillId="0" borderId="35" xfId="11" applyFont="1" applyFill="1" applyBorder="1" applyAlignment="1">
      <alignment horizontal="left" vertical="center" wrapText="1"/>
    </xf>
    <xf numFmtId="166" fontId="2" fillId="0" borderId="31" xfId="11" applyNumberFormat="1" applyFont="1" applyFill="1" applyBorder="1" applyAlignment="1">
      <alignment horizontal="right" vertical="center" wrapText="1"/>
    </xf>
    <xf numFmtId="0" fontId="17" fillId="2" borderId="34" xfId="11" applyFont="1" applyFill="1" applyBorder="1" applyAlignment="1">
      <alignment horizontal="left" vertical="center"/>
    </xf>
    <xf numFmtId="0" fontId="22" fillId="0" borderId="0" xfId="11" applyFont="1" applyFill="1" applyAlignment="1"/>
    <xf numFmtId="3" fontId="3" fillId="0" borderId="0" xfId="11" applyNumberFormat="1" applyFont="1" applyFill="1" applyAlignment="1"/>
    <xf numFmtId="0" fontId="29" fillId="2" borderId="34" xfId="11" applyFont="1" applyFill="1" applyBorder="1" applyAlignment="1">
      <alignment horizontal="left" vertical="center"/>
    </xf>
    <xf numFmtId="0" fontId="29" fillId="2" borderId="35" xfId="11" applyFont="1" applyFill="1" applyBorder="1" applyAlignment="1">
      <alignment vertical="center"/>
    </xf>
    <xf numFmtId="3" fontId="3" fillId="0" borderId="0" xfId="11" applyNumberFormat="1" applyFont="1" applyFill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167" fontId="18" fillId="9" borderId="1" xfId="0" applyNumberFormat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 shrinkToFit="1"/>
    </xf>
    <xf numFmtId="0" fontId="0" fillId="0" borderId="0" xfId="0" applyAlignment="1">
      <alignment shrinkToFit="1"/>
    </xf>
    <xf numFmtId="1" fontId="2" fillId="0" borderId="5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/>
    </xf>
    <xf numFmtId="3" fontId="2" fillId="6" borderId="25" xfId="0" applyNumberFormat="1" applyFont="1" applyFill="1" applyBorder="1" applyAlignment="1">
      <alignment vertical="center"/>
    </xf>
    <xf numFmtId="4" fontId="32" fillId="0" borderId="0" xfId="0" applyNumberFormat="1" applyFont="1"/>
    <xf numFmtId="0" fontId="2" fillId="0" borderId="6" xfId="0" applyFont="1" applyBorder="1" applyAlignment="1">
      <alignment vertical="center" wrapText="1"/>
    </xf>
    <xf numFmtId="4" fontId="33" fillId="6" borderId="0" xfId="0" applyNumberFormat="1" applyFont="1" applyFill="1"/>
    <xf numFmtId="0" fontId="2" fillId="6" borderId="6" xfId="0" applyFont="1" applyFill="1" applyBorder="1" applyAlignment="1">
      <alignment vertical="center" wrapText="1"/>
    </xf>
    <xf numFmtId="0" fontId="34" fillId="9" borderId="34" xfId="0" applyFont="1" applyFill="1" applyBorder="1" applyAlignment="1">
      <alignment horizontal="left" wrapText="1"/>
    </xf>
    <xf numFmtId="0" fontId="34" fillId="9" borderId="35" xfId="0" applyFont="1" applyFill="1" applyBorder="1" applyAlignment="1">
      <alignment horizontal="left" wrapText="1"/>
    </xf>
    <xf numFmtId="0" fontId="35" fillId="9" borderId="35" xfId="0" applyFont="1" applyFill="1" applyBorder="1" applyAlignment="1">
      <alignment horizontal="left" wrapText="1"/>
    </xf>
    <xf numFmtId="3" fontId="34" fillId="9" borderId="31" xfId="0" applyNumberFormat="1" applyFont="1" applyFill="1" applyBorder="1"/>
    <xf numFmtId="0" fontId="36" fillId="0" borderId="0" xfId="0" applyFont="1"/>
    <xf numFmtId="0" fontId="37" fillId="6" borderId="0" xfId="0" applyFont="1" applyFill="1" applyAlignment="1">
      <alignment horizontal="left" wrapText="1"/>
    </xf>
    <xf numFmtId="168" fontId="3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3" fontId="6" fillId="2" borderId="69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6" borderId="25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17" fillId="2" borderId="34" xfId="0" applyFont="1" applyFill="1" applyBorder="1" applyAlignment="1">
      <alignment vertical="center"/>
    </xf>
    <xf numFmtId="3" fontId="17" fillId="2" borderId="31" xfId="0" applyNumberFormat="1" applyFont="1" applyFill="1" applyBorder="1" applyAlignment="1">
      <alignment horizontal="right" vertical="center"/>
    </xf>
    <xf numFmtId="0" fontId="3" fillId="0" borderId="0" xfId="12" applyFont="1" applyFill="1" applyAlignment="1"/>
    <xf numFmtId="0" fontId="3" fillId="0" borderId="0" xfId="12" applyFont="1" applyFill="1" applyAlignment="1">
      <alignment horizontal="right"/>
    </xf>
    <xf numFmtId="0" fontId="2" fillId="0" borderId="0" xfId="12" applyFont="1" applyFill="1" applyAlignment="1">
      <alignment horizontal="right"/>
    </xf>
    <xf numFmtId="0" fontId="3" fillId="0" borderId="0" xfId="12" applyFont="1" applyFill="1" applyAlignment="1">
      <alignment horizontal="center"/>
    </xf>
    <xf numFmtId="0" fontId="11" fillId="0" borderId="0" xfId="12" applyFont="1" applyFill="1" applyAlignment="1">
      <alignment horizontal="right"/>
    </xf>
    <xf numFmtId="0" fontId="6" fillId="2" borderId="1" xfId="12" applyFont="1" applyFill="1" applyBorder="1" applyAlignment="1">
      <alignment horizontal="center" vertical="center"/>
    </xf>
    <xf numFmtId="0" fontId="6" fillId="2" borderId="33" xfId="12" applyFont="1" applyFill="1" applyBorder="1" applyAlignment="1">
      <alignment vertical="center"/>
    </xf>
    <xf numFmtId="0" fontId="6" fillId="2" borderId="2" xfId="12" applyFont="1" applyFill="1" applyBorder="1" applyAlignment="1">
      <alignment vertical="center"/>
    </xf>
    <xf numFmtId="0" fontId="6" fillId="2" borderId="23" xfId="12" applyFont="1" applyFill="1" applyBorder="1" applyAlignment="1">
      <alignment horizontal="center" vertical="center" wrapText="1"/>
    </xf>
    <xf numFmtId="4" fontId="7" fillId="6" borderId="0" xfId="12" applyNumberFormat="1" applyFont="1" applyFill="1" applyAlignment="1">
      <alignment horizontal="center" vertical="center" wrapText="1"/>
    </xf>
    <xf numFmtId="0" fontId="2" fillId="0" borderId="70" xfId="12" applyFont="1" applyFill="1" applyBorder="1" applyAlignment="1">
      <alignment horizontal="center" vertical="center" wrapText="1"/>
    </xf>
    <xf numFmtId="0" fontId="2" fillId="0" borderId="6" xfId="12" applyFont="1" applyFill="1" applyBorder="1" applyAlignment="1">
      <alignment vertical="center" wrapText="1" shrinkToFit="1"/>
    </xf>
    <xf numFmtId="0" fontId="2" fillId="0" borderId="27" xfId="12" applyFont="1" applyFill="1" applyBorder="1" applyAlignment="1">
      <alignment vertical="center" wrapText="1"/>
    </xf>
    <xf numFmtId="0" fontId="2" fillId="0" borderId="25" xfId="12" applyFont="1" applyFill="1" applyBorder="1" applyAlignment="1">
      <alignment vertical="center"/>
    </xf>
    <xf numFmtId="0" fontId="3" fillId="0" borderId="0" xfId="12" applyFont="1" applyFill="1" applyAlignment="1">
      <alignment vertical="center" wrapText="1"/>
    </xf>
    <xf numFmtId="0" fontId="2" fillId="0" borderId="6" xfId="12" applyFont="1" applyFill="1" applyBorder="1" applyAlignment="1">
      <alignment vertical="center" wrapText="1"/>
    </xf>
    <xf numFmtId="0" fontId="2" fillId="0" borderId="64" xfId="12" applyFont="1" applyFill="1" applyBorder="1" applyAlignment="1">
      <alignment vertical="center" wrapText="1"/>
    </xf>
    <xf numFmtId="3" fontId="2" fillId="6" borderId="71" xfId="12" applyNumberFormat="1" applyFont="1" applyFill="1" applyBorder="1" applyAlignment="1">
      <alignment vertical="center" wrapText="1"/>
    </xf>
    <xf numFmtId="0" fontId="2" fillId="0" borderId="38" xfId="12" applyFont="1" applyFill="1" applyBorder="1" applyAlignment="1">
      <alignment horizontal="left" vertical="center" wrapText="1"/>
    </xf>
    <xf numFmtId="3" fontId="2" fillId="6" borderId="25" xfId="12" applyNumberFormat="1" applyFont="1" applyFill="1" applyBorder="1" applyAlignment="1">
      <alignment vertical="center" wrapText="1"/>
    </xf>
    <xf numFmtId="0" fontId="2" fillId="6" borderId="25" xfId="12" applyFont="1" applyFill="1" applyBorder="1" applyAlignment="1">
      <alignment vertical="center" wrapText="1"/>
    </xf>
    <xf numFmtId="0" fontId="2" fillId="6" borderId="28" xfId="12" applyFont="1" applyFill="1" applyBorder="1" applyAlignment="1">
      <alignment vertical="center" wrapText="1"/>
    </xf>
    <xf numFmtId="0" fontId="2" fillId="0" borderId="65" xfId="12" applyFont="1" applyFill="1" applyBorder="1" applyAlignment="1">
      <alignment horizontal="left" vertical="center" wrapText="1"/>
    </xf>
    <xf numFmtId="0" fontId="2" fillId="6" borderId="71" xfId="12" applyFont="1" applyFill="1" applyBorder="1" applyAlignment="1">
      <alignment vertical="center" wrapText="1"/>
    </xf>
    <xf numFmtId="0" fontId="2" fillId="0" borderId="38" xfId="12" applyFont="1" applyFill="1" applyBorder="1" applyAlignment="1">
      <alignment vertical="center" wrapText="1"/>
    </xf>
    <xf numFmtId="0" fontId="17" fillId="2" borderId="34" xfId="12" applyFont="1" applyFill="1" applyBorder="1" applyAlignment="1">
      <alignment horizontal="left" vertical="center"/>
    </xf>
    <xf numFmtId="3" fontId="17" fillId="2" borderId="31" xfId="12" applyNumberFormat="1" applyFont="1" applyFill="1" applyBorder="1" applyAlignment="1">
      <alignment horizontal="right" vertical="center"/>
    </xf>
    <xf numFmtId="0" fontId="6" fillId="2" borderId="69" xfId="12" applyFont="1" applyFill="1" applyBorder="1" applyAlignment="1">
      <alignment horizontal="center" vertical="center" wrapText="1"/>
    </xf>
    <xf numFmtId="0" fontId="2" fillId="0" borderId="5" xfId="12" applyFont="1" applyFill="1" applyBorder="1" applyAlignment="1">
      <alignment horizontal="center" vertical="center"/>
    </xf>
    <xf numFmtId="0" fontId="2" fillId="0" borderId="15" xfId="12" applyFont="1" applyFill="1" applyBorder="1" applyAlignment="1">
      <alignment vertical="center" shrinkToFit="1"/>
    </xf>
    <xf numFmtId="49" fontId="39" fillId="0" borderId="6" xfId="12" applyNumberFormat="1" applyFont="1" applyFill="1" applyBorder="1" applyAlignment="1">
      <alignment horizontal="left"/>
    </xf>
    <xf numFmtId="0" fontId="2" fillId="0" borderId="28" xfId="12" applyFont="1" applyFill="1" applyBorder="1" applyAlignment="1">
      <alignment vertical="center"/>
    </xf>
    <xf numFmtId="0" fontId="0" fillId="0" borderId="0" xfId="12" applyFont="1" applyFill="1" applyAlignment="1"/>
    <xf numFmtId="0" fontId="2" fillId="0" borderId="14" xfId="12" applyFont="1" applyFill="1" applyBorder="1" applyAlignment="1">
      <alignment shrinkToFit="1"/>
    </xf>
    <xf numFmtId="0" fontId="3" fillId="0" borderId="0" xfId="12" applyFont="1" applyFill="1" applyAlignment="1">
      <alignment vertical="center"/>
    </xf>
    <xf numFmtId="0" fontId="2" fillId="0" borderId="6" xfId="12" applyFont="1" applyFill="1" applyBorder="1" applyAlignment="1">
      <alignment vertical="center" shrinkToFit="1"/>
    </xf>
    <xf numFmtId="49" fontId="39" fillId="0" borderId="6" xfId="12" applyNumberFormat="1" applyFont="1" applyFill="1" applyBorder="1" applyAlignment="1">
      <alignment horizontal="left" wrapText="1"/>
    </xf>
    <xf numFmtId="0" fontId="2" fillId="0" borderId="14" xfId="12" applyFont="1" applyFill="1" applyBorder="1" applyAlignment="1">
      <alignment vertical="center" wrapText="1" shrinkToFit="1"/>
    </xf>
    <xf numFmtId="49" fontId="6" fillId="2" borderId="69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justify" vertical="top" wrapText="1"/>
    </xf>
    <xf numFmtId="3" fontId="2" fillId="0" borderId="38" xfId="0" applyNumberFormat="1" applyFont="1" applyBorder="1" applyAlignment="1">
      <alignment horizontal="right" vertical="top" wrapText="1"/>
    </xf>
    <xf numFmtId="0" fontId="10" fillId="3" borderId="5" xfId="0" applyFont="1" applyFill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0" fontId="10" fillId="3" borderId="13" xfId="0" applyFont="1" applyFill="1" applyBorder="1" applyAlignment="1">
      <alignment horizontal="justify" vertical="top" wrapText="1"/>
    </xf>
    <xf numFmtId="3" fontId="2" fillId="0" borderId="64" xfId="0" applyNumberFormat="1" applyFont="1" applyBorder="1" applyAlignment="1">
      <alignment horizontal="right" vertical="top" wrapText="1"/>
    </xf>
    <xf numFmtId="3" fontId="2" fillId="0" borderId="28" xfId="0" applyNumberFormat="1" applyFont="1" applyBorder="1"/>
    <xf numFmtId="0" fontId="6" fillId="2" borderId="17" xfId="0" applyFont="1" applyFill="1" applyBorder="1" applyAlignment="1">
      <alignment horizontal="justify" vertical="center" wrapText="1"/>
    </xf>
    <xf numFmtId="3" fontId="6" fillId="2" borderId="7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11" fillId="0" borderId="0" xfId="0" applyNumberFormat="1" applyFont="1"/>
    <xf numFmtId="169" fontId="11" fillId="0" borderId="0" xfId="0" applyNumberFormat="1" applyFont="1" applyAlignment="1">
      <alignment horizontal="center"/>
    </xf>
    <xf numFmtId="4" fontId="11" fillId="0" borderId="0" xfId="0" applyNumberFormat="1" applyFont="1" applyFill="1"/>
    <xf numFmtId="4" fontId="11" fillId="0" borderId="0" xfId="0" applyNumberFormat="1" applyFont="1" applyAlignment="1">
      <alignment horizontal="center"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4" fontId="13" fillId="11" borderId="6" xfId="0" applyNumberFormat="1" applyFont="1" applyFill="1" applyBorder="1" applyAlignment="1">
      <alignment horizontal="center" vertical="center" wrapText="1"/>
    </xf>
    <xf numFmtId="4" fontId="13" fillId="11" borderId="6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horizontal="center"/>
    </xf>
    <xf numFmtId="169" fontId="11" fillId="0" borderId="6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170" fontId="11" fillId="0" borderId="6" xfId="0" applyNumberFormat="1" applyFont="1" applyBorder="1" applyAlignment="1">
      <alignment horizontal="center"/>
    </xf>
    <xf numFmtId="171" fontId="11" fillId="0" borderId="6" xfId="0" applyNumberFormat="1" applyFont="1" applyBorder="1" applyAlignment="1">
      <alignment horizontal="center"/>
    </xf>
    <xf numFmtId="172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173" fontId="11" fillId="0" borderId="6" xfId="0" applyNumberFormat="1" applyFont="1" applyBorder="1" applyAlignment="1">
      <alignment horizontal="center"/>
    </xf>
    <xf numFmtId="169" fontId="11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horizontal="center" vertical="center"/>
    </xf>
    <xf numFmtId="170" fontId="11" fillId="0" borderId="6" xfId="0" applyNumberFormat="1" applyFont="1" applyFill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/>
    </xf>
    <xf numFmtId="172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169" fontId="11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10" fillId="0" borderId="5" xfId="0" applyFont="1" applyBorder="1"/>
    <xf numFmtId="3" fontId="2" fillId="6" borderId="6" xfId="0" applyNumberFormat="1" applyFont="1" applyFill="1" applyBorder="1" applyAlignment="1">
      <alignment horizontal="right"/>
    </xf>
    <xf numFmtId="3" fontId="2" fillId="11" borderId="25" xfId="0" applyNumberFormat="1" applyFont="1" applyFill="1" applyBorder="1" applyAlignment="1">
      <alignment horizontal="right"/>
    </xf>
    <xf numFmtId="3" fontId="10" fillId="6" borderId="6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11" borderId="25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10" fontId="10" fillId="6" borderId="6" xfId="0" applyNumberFormat="1" applyFont="1" applyFill="1" applyBorder="1" applyAlignment="1">
      <alignment horizontal="right" vertical="center"/>
    </xf>
    <xf numFmtId="10" fontId="10" fillId="0" borderId="6" xfId="0" applyNumberFormat="1" applyFont="1" applyBorder="1" applyAlignment="1">
      <alignment horizontal="right" vertical="center"/>
    </xf>
    <xf numFmtId="10" fontId="10" fillId="11" borderId="25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wrapText="1"/>
    </xf>
    <xf numFmtId="10" fontId="10" fillId="6" borderId="14" xfId="0" applyNumberFormat="1" applyFont="1" applyFill="1" applyBorder="1" applyAlignment="1">
      <alignment horizontal="right" vertical="center"/>
    </xf>
    <xf numFmtId="10" fontId="10" fillId="0" borderId="14" xfId="0" applyNumberFormat="1" applyFont="1" applyBorder="1" applyAlignment="1">
      <alignment horizontal="right" vertical="center"/>
    </xf>
    <xf numFmtId="3" fontId="10" fillId="6" borderId="14" xfId="0" applyNumberFormat="1" applyFont="1" applyFill="1" applyBorder="1" applyAlignment="1">
      <alignment horizontal="right" vertical="center"/>
    </xf>
    <xf numFmtId="3" fontId="10" fillId="11" borderId="28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vertical="center" wrapText="1"/>
    </xf>
    <xf numFmtId="10" fontId="10" fillId="6" borderId="35" xfId="0" applyNumberFormat="1" applyFont="1" applyFill="1" applyBorder="1" applyAlignment="1">
      <alignment horizontal="right" vertical="center"/>
    </xf>
    <xf numFmtId="10" fontId="10" fillId="0" borderId="35" xfId="0" applyNumberFormat="1" applyFont="1" applyBorder="1" applyAlignment="1">
      <alignment horizontal="right" vertical="center"/>
    </xf>
    <xf numFmtId="10" fontId="10" fillId="11" borderId="31" xfId="0" applyNumberFormat="1" applyFont="1" applyFill="1" applyBorder="1" applyAlignment="1">
      <alignment horizontal="right" vertical="center"/>
    </xf>
    <xf numFmtId="0" fontId="7" fillId="0" borderId="0" xfId="0" applyFont="1"/>
    <xf numFmtId="10" fontId="3" fillId="0" borderId="0" xfId="0" applyNumberFormat="1" applyFont="1" applyAlignment="1">
      <alignment horizontal="right"/>
    </xf>
    <xf numFmtId="0" fontId="2" fillId="6" borderId="0" xfId="0" applyFont="1" applyFill="1"/>
    <xf numFmtId="0" fontId="32" fillId="0" borderId="0" xfId="0" applyFont="1"/>
    <xf numFmtId="10" fontId="32" fillId="0" borderId="0" xfId="0" applyNumberFormat="1" applyFont="1" applyAlignment="1">
      <alignment horizontal="right"/>
    </xf>
    <xf numFmtId="0" fontId="45" fillId="0" borderId="0" xfId="0" applyFont="1"/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 vertical="center" wrapText="1"/>
    </xf>
    <xf numFmtId="3" fontId="17" fillId="2" borderId="55" xfId="0" applyNumberFormat="1" applyFont="1" applyFill="1" applyBorder="1" applyAlignment="1">
      <alignment vertical="center"/>
    </xf>
    <xf numFmtId="3" fontId="17" fillId="2" borderId="49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49" fontId="10" fillId="3" borderId="74" xfId="0" applyNumberFormat="1" applyFont="1" applyFill="1" applyBorder="1" applyAlignment="1">
      <alignment vertical="center" wrapText="1"/>
    </xf>
    <xf numFmtId="3" fontId="10" fillId="3" borderId="63" xfId="0" applyNumberFormat="1" applyFont="1" applyFill="1" applyBorder="1" applyAlignment="1">
      <alignment vertical="center"/>
    </xf>
    <xf numFmtId="3" fontId="10" fillId="3" borderId="7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10" fillId="3" borderId="5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49" fontId="10" fillId="6" borderId="5" xfId="0" applyNumberFormat="1" applyFont="1" applyFill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" fontId="10" fillId="0" borderId="0" xfId="0" applyNumberFormat="1" applyFont="1"/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10" fillId="3" borderId="74" xfId="0" applyNumberFormat="1" applyFont="1" applyFill="1" applyBorder="1" applyAlignment="1">
      <alignment vertical="top" wrapText="1"/>
    </xf>
    <xf numFmtId="3" fontId="10" fillId="3" borderId="71" xfId="0" applyNumberFormat="1" applyFont="1" applyFill="1" applyBorder="1"/>
    <xf numFmtId="49" fontId="2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49" fontId="10" fillId="3" borderId="5" xfId="0" applyNumberFormat="1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3" fontId="10" fillId="3" borderId="25" xfId="0" applyNumberFormat="1" applyFont="1" applyFill="1" applyBorder="1"/>
    <xf numFmtId="49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vertical="center" wrapText="1"/>
    </xf>
    <xf numFmtId="3" fontId="6" fillId="2" borderId="55" xfId="0" applyNumberFormat="1" applyFont="1" applyFill="1" applyBorder="1" applyAlignment="1">
      <alignment horizontal="right" vertical="center"/>
    </xf>
    <xf numFmtId="3" fontId="6" fillId="2" borderId="49" xfId="0" applyNumberFormat="1" applyFont="1" applyFill="1" applyBorder="1" applyAlignment="1">
      <alignment horizontal="right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vertical="top" wrapText="1"/>
    </xf>
    <xf numFmtId="3" fontId="10" fillId="3" borderId="6" xfId="0" applyNumberFormat="1" applyFont="1" applyFill="1" applyBorder="1" applyAlignment="1">
      <alignment horizontal="right" vertical="center"/>
    </xf>
    <xf numFmtId="3" fontId="10" fillId="3" borderId="2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3" fontId="2" fillId="0" borderId="35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6" borderId="0" xfId="0" applyNumberFormat="1" applyFont="1" applyFill="1"/>
    <xf numFmtId="0" fontId="46" fillId="0" borderId="0" xfId="0" applyFont="1" applyAlignment="1">
      <alignment vertical="center" wrapText="1"/>
    </xf>
    <xf numFmtId="0" fontId="6" fillId="2" borderId="6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18" fillId="2" borderId="74" xfId="2" applyFont="1" applyFill="1" applyBorder="1" applyAlignment="1">
      <alignment horizontal="left"/>
    </xf>
    <xf numFmtId="174" fontId="2" fillId="6" borderId="75" xfId="2" applyNumberFormat="1" applyFont="1" applyFill="1" applyBorder="1" applyAlignment="1">
      <alignment horizontal="center" vertical="center"/>
    </xf>
    <xf numFmtId="167" fontId="2" fillId="6" borderId="75" xfId="2" applyNumberFormat="1" applyFont="1" applyFill="1" applyBorder="1" applyAlignment="1">
      <alignment horizontal="center"/>
    </xf>
    <xf numFmtId="174" fontId="2" fillId="6" borderId="75" xfId="2" applyNumberFormat="1" applyFont="1" applyFill="1" applyBorder="1" applyAlignment="1">
      <alignment horizontal="center"/>
    </xf>
    <xf numFmtId="4" fontId="2" fillId="3" borderId="71" xfId="2" applyNumberFormat="1" applyFont="1" applyFill="1" applyBorder="1" applyAlignment="1">
      <alignment horizontal="center"/>
    </xf>
    <xf numFmtId="174" fontId="2" fillId="6" borderId="38" xfId="2" applyNumberFormat="1" applyFont="1" applyFill="1" applyBorder="1" applyAlignment="1">
      <alignment horizontal="center" vertical="center"/>
    </xf>
    <xf numFmtId="167" fontId="2" fillId="6" borderId="38" xfId="2" applyNumberFormat="1" applyFont="1" applyFill="1" applyBorder="1" applyAlignment="1">
      <alignment horizontal="center"/>
    </xf>
    <xf numFmtId="174" fontId="2" fillId="6" borderId="38" xfId="2" applyNumberFormat="1" applyFont="1" applyFill="1" applyBorder="1" applyAlignment="1">
      <alignment horizontal="center"/>
    </xf>
    <xf numFmtId="4" fontId="2" fillId="3" borderId="25" xfId="2" applyNumberFormat="1" applyFont="1" applyFill="1" applyBorder="1" applyAlignment="1">
      <alignment horizontal="center"/>
    </xf>
    <xf numFmtId="174" fontId="2" fillId="6" borderId="64" xfId="2" applyNumberFormat="1" applyFont="1" applyFill="1" applyBorder="1" applyAlignment="1">
      <alignment horizontal="center" vertical="center"/>
    </xf>
    <xf numFmtId="174" fontId="2" fillId="6" borderId="27" xfId="2" applyNumberFormat="1" applyFont="1" applyFill="1" applyBorder="1" applyAlignment="1">
      <alignment horizontal="center" vertical="center"/>
    </xf>
    <xf numFmtId="174" fontId="2" fillId="6" borderId="6" xfId="2" applyNumberFormat="1" applyFont="1" applyFill="1" applyBorder="1" applyAlignment="1">
      <alignment horizontal="center" vertical="center"/>
    </xf>
    <xf numFmtId="174" fontId="2" fillId="6" borderId="7" xfId="2" applyNumberFormat="1" applyFont="1" applyFill="1" applyBorder="1" applyAlignment="1">
      <alignment horizontal="center" vertical="center"/>
    </xf>
    <xf numFmtId="174" fontId="2" fillId="6" borderId="73" xfId="2" applyNumberFormat="1" applyFont="1" applyFill="1" applyBorder="1" applyAlignment="1">
      <alignment horizontal="center" vertical="center"/>
    </xf>
    <xf numFmtId="167" fontId="2" fillId="6" borderId="64" xfId="2" applyNumberFormat="1" applyFont="1" applyFill="1" applyBorder="1" applyAlignment="1">
      <alignment horizontal="center"/>
    </xf>
    <xf numFmtId="174" fontId="2" fillId="6" borderId="64" xfId="2" applyNumberFormat="1" applyFont="1" applyFill="1" applyBorder="1" applyAlignment="1">
      <alignment horizontal="center"/>
    </xf>
    <xf numFmtId="4" fontId="2" fillId="3" borderId="28" xfId="2" applyNumberFormat="1" applyFont="1" applyFill="1" applyBorder="1" applyAlignment="1">
      <alignment horizontal="center"/>
    </xf>
    <xf numFmtId="174" fontId="3" fillId="0" borderId="0" xfId="0" applyNumberFormat="1" applyFont="1"/>
    <xf numFmtId="0" fontId="18" fillId="2" borderId="34" xfId="2" applyFont="1" applyFill="1" applyBorder="1" applyAlignment="1">
      <alignment horizontal="center" vertical="center"/>
    </xf>
    <xf numFmtId="4" fontId="18" fillId="2" borderId="76" xfId="2" applyNumberFormat="1" applyFont="1" applyFill="1" applyBorder="1" applyAlignment="1">
      <alignment horizontal="center" vertical="center"/>
    </xf>
    <xf numFmtId="4" fontId="18" fillId="2" borderId="31" xfId="2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/>
    </xf>
    <xf numFmtId="3" fontId="10" fillId="6" borderId="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18" fillId="2" borderId="34" xfId="0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3" fontId="2" fillId="6" borderId="3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2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9" fontId="2" fillId="0" borderId="25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vertical="center"/>
    </xf>
    <xf numFmtId="3" fontId="10" fillId="14" borderId="6" xfId="0" applyNumberFormat="1" applyFont="1" applyFill="1" applyBorder="1" applyAlignment="1">
      <alignment horizontal="right" vertical="center"/>
    </xf>
    <xf numFmtId="3" fontId="10" fillId="0" borderId="6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2" fillId="0" borderId="67" xfId="0" applyNumberFormat="1" applyFont="1" applyFill="1" applyBorder="1" applyAlignment="1">
      <alignment horizontal="right" vertical="center"/>
    </xf>
    <xf numFmtId="0" fontId="2" fillId="13" borderId="6" xfId="0" applyFont="1" applyFill="1" applyBorder="1" applyAlignment="1">
      <alignment horizontal="center" vertical="center"/>
    </xf>
    <xf numFmtId="0" fontId="18" fillId="13" borderId="6" xfId="0" applyFont="1" applyFill="1" applyBorder="1" applyAlignment="1">
      <alignment vertical="center"/>
    </xf>
    <xf numFmtId="3" fontId="18" fillId="13" borderId="6" xfId="0" applyNumberFormat="1" applyFont="1" applyFill="1" applyBorder="1" applyAlignment="1">
      <alignment horizontal="right" vertical="center"/>
    </xf>
    <xf numFmtId="3" fontId="18" fillId="0" borderId="67" xfId="0" applyNumberFormat="1" applyFont="1" applyFill="1" applyBorder="1" applyAlignment="1">
      <alignment horizontal="right" vertical="center"/>
    </xf>
    <xf numFmtId="0" fontId="18" fillId="13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18" fillId="0" borderId="67" xfId="0" applyFont="1" applyFill="1" applyBorder="1" applyAlignment="1">
      <alignment vertical="center"/>
    </xf>
    <xf numFmtId="0" fontId="50" fillId="14" borderId="6" xfId="0" applyFont="1" applyFill="1" applyBorder="1" applyAlignment="1">
      <alignment vertical="center"/>
    </xf>
    <xf numFmtId="3" fontId="50" fillId="14" borderId="6" xfId="0" applyNumberFormat="1" applyFont="1" applyFill="1" applyBorder="1" applyAlignment="1">
      <alignment horizontal="right" vertical="center"/>
    </xf>
    <xf numFmtId="3" fontId="50" fillId="0" borderId="67" xfId="0" applyNumberFormat="1" applyFont="1" applyFill="1" applyBorder="1" applyAlignment="1">
      <alignment horizontal="right" vertical="center"/>
    </xf>
    <xf numFmtId="0" fontId="6" fillId="13" borderId="6" xfId="0" applyFont="1" applyFill="1" applyBorder="1" applyAlignment="1">
      <alignment horizontal="center" vertical="center"/>
    </xf>
    <xf numFmtId="3" fontId="6" fillId="13" borderId="6" xfId="0" applyNumberFormat="1" applyFont="1" applyFill="1" applyBorder="1" applyAlignment="1">
      <alignment horizontal="right" vertical="center"/>
    </xf>
    <xf numFmtId="3" fontId="6" fillId="0" borderId="6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2" fillId="0" borderId="5" xfId="0" applyFont="1" applyFill="1" applyBorder="1"/>
    <xf numFmtId="0" fontId="9" fillId="0" borderId="0" xfId="0" applyFont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 applyProtection="1">
      <alignment horizontal="left"/>
      <protection locked="0"/>
    </xf>
    <xf numFmtId="0" fontId="11" fillId="0" borderId="3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7" fillId="2" borderId="40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6" fillId="2" borderId="4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19" fillId="0" borderId="0" xfId="2" applyFont="1" applyFill="1" applyAlignment="1">
      <alignment horizontal="center"/>
    </xf>
    <xf numFmtId="0" fontId="18" fillId="2" borderId="40" xfId="2" applyFont="1" applyFill="1" applyBorder="1" applyAlignment="1">
      <alignment horizontal="left" vertical="center" wrapText="1"/>
    </xf>
    <xf numFmtId="0" fontId="18" fillId="2" borderId="58" xfId="2" applyFont="1" applyFill="1" applyBorder="1" applyAlignment="1">
      <alignment horizontal="center" vertical="center"/>
    </xf>
    <xf numFmtId="0" fontId="18" fillId="2" borderId="5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18" fillId="2" borderId="58" xfId="2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5" xfId="0" applyFont="1" applyFill="1" applyBorder="1"/>
    <xf numFmtId="0" fontId="6" fillId="2" borderId="10" xfId="0" applyFont="1" applyFill="1" applyBorder="1"/>
    <xf numFmtId="0" fontId="2" fillId="0" borderId="6" xfId="0" applyFont="1" applyFill="1" applyBorder="1" applyAlignment="1">
      <alignment horizontal="left"/>
    </xf>
    <xf numFmtId="0" fontId="6" fillId="2" borderId="10" xfId="0" applyFont="1" applyFill="1" applyBorder="1" applyAlignment="1">
      <alignment vertical="center"/>
    </xf>
    <xf numFmtId="0" fontId="18" fillId="2" borderId="5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18" fillId="2" borderId="10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/>
    <xf numFmtId="0" fontId="24" fillId="2" borderId="34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4" fillId="0" borderId="0" xfId="11" applyFont="1" applyFill="1" applyAlignment="1">
      <alignment horizontal="center" vertical="center" wrapText="1"/>
    </xf>
    <xf numFmtId="0" fontId="4" fillId="0" borderId="0" xfId="11" applyFont="1" applyFill="1" applyAlignment="1">
      <alignment horizontal="center" vertical="center"/>
    </xf>
    <xf numFmtId="0" fontId="28" fillId="6" borderId="0" xfId="11" applyFont="1" applyFill="1" applyAlignment="1">
      <alignment horizontal="left" vertical="center"/>
    </xf>
    <xf numFmtId="0" fontId="17" fillId="2" borderId="61" xfId="11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7" fillId="2" borderId="35" xfId="0" applyFont="1" applyFill="1" applyBorder="1" applyAlignment="1">
      <alignment vertical="center"/>
    </xf>
    <xf numFmtId="0" fontId="38" fillId="0" borderId="0" xfId="12" applyFont="1" applyFill="1" applyAlignment="1">
      <alignment horizontal="center" vertical="center"/>
    </xf>
    <xf numFmtId="0" fontId="17" fillId="2" borderId="35" xfId="12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center" vertical="center"/>
    </xf>
    <xf numFmtId="169" fontId="11" fillId="0" borderId="6" xfId="0" applyNumberFormat="1" applyFont="1" applyFill="1" applyBorder="1" applyAlignment="1">
      <alignment horizontal="center" vertical="center"/>
    </xf>
    <xf numFmtId="0" fontId="42" fillId="10" borderId="6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 vertical="center"/>
    </xf>
    <xf numFmtId="4" fontId="13" fillId="11" borderId="6" xfId="0" applyNumberFormat="1" applyFont="1" applyFill="1" applyBorder="1" applyAlignment="1">
      <alignment horizontal="center" vertical="center" wrapText="1"/>
    </xf>
    <xf numFmtId="4" fontId="13" fillId="11" borderId="6" xfId="0" applyNumberFormat="1" applyFont="1" applyFill="1" applyBorder="1" applyAlignment="1">
      <alignment horizontal="center" vertical="center"/>
    </xf>
    <xf numFmtId="169" fontId="13" fillId="11" borderId="6" xfId="0" applyNumberFormat="1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0" fontId="13" fillId="11" borderId="6" xfId="0" applyFont="1" applyFill="1" applyBorder="1" applyAlignment="1">
      <alignment horizontal="left" vertical="center"/>
    </xf>
    <xf numFmtId="4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32" fillId="6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wrapText="1"/>
    </xf>
    <xf numFmtId="0" fontId="40" fillId="1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2" borderId="1" xfId="0" applyFill="1" applyBorder="1"/>
    <xf numFmtId="0" fontId="0" fillId="2" borderId="40" xfId="0" applyFill="1" applyBorder="1"/>
    <xf numFmtId="0" fontId="14" fillId="2" borderId="58" xfId="2" applyFont="1" applyFill="1" applyBorder="1" applyAlignment="1">
      <alignment horizontal="center" vertical="center" wrapText="1"/>
    </xf>
    <xf numFmtId="0" fontId="18" fillId="2" borderId="59" xfId="2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right"/>
    </xf>
    <xf numFmtId="0" fontId="17" fillId="2" borderId="77" xfId="0" applyFont="1" applyFill="1" applyBorder="1" applyAlignment="1">
      <alignment horizontal="center"/>
    </xf>
    <xf numFmtId="0" fontId="0" fillId="0" borderId="78" xfId="0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12" borderId="0" xfId="0" applyFont="1" applyFill="1" applyAlignment="1">
      <alignment horizontal="left"/>
    </xf>
    <xf numFmtId="0" fontId="49" fillId="0" borderId="77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6">
    <cellStyle name="Excel Built-in Normal" xfId="1"/>
    <cellStyle name="Excel Built-in Normal 1" xfId="2"/>
    <cellStyle name="Normálna 10" xfId="3"/>
    <cellStyle name="Normálna 2" xfId="4"/>
    <cellStyle name="Normálna 3" xfId="5"/>
    <cellStyle name="Normálna 3 2" xfId="6"/>
    <cellStyle name="Normálna 3 3" xfId="7"/>
    <cellStyle name="Normálna 4" xfId="8"/>
    <cellStyle name="Normálna 5" xfId="9"/>
    <cellStyle name="Normálna 6" xfId="10"/>
    <cellStyle name="Normálna 7" xfId="11"/>
    <cellStyle name="Normálna 8" xfId="12"/>
    <cellStyle name="Normálna 9" xfId="13"/>
    <cellStyle name="Normálne" xfId="0" builtinId="0" customBuiltin="1"/>
    <cellStyle name="normálne 2" xfId="14"/>
    <cellStyle name="normálne 2 2" xfId="15"/>
    <cellStyle name="normálne 2 2 2" xfId="16"/>
    <cellStyle name="normálne 2 2 2 2" xfId="17"/>
    <cellStyle name="normálne 2 2 2 3" xfId="18"/>
    <cellStyle name="normálne 2 2 3" xfId="19"/>
    <cellStyle name="normálne 2 2 4" xfId="20"/>
    <cellStyle name="normálne 2 3" xfId="21"/>
    <cellStyle name="normálne 2 4" xfId="22"/>
    <cellStyle name="normálne 3" xfId="23"/>
    <cellStyle name="normálne 3 2" xfId="24"/>
    <cellStyle name="normálne 3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404040"/>
                </a:solidFill>
                <a:latin typeface="Calibri"/>
              </a:defRPr>
            </a:pP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Vývoj dlhovej služby Mesta Trenčín  </a:t>
            </a:r>
            <a:b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</a:br>
            <a:r>
              <a:rPr lang="sk-SK" sz="1800" b="1" i="0" u="none" strike="noStrike" kern="1200" cap="none" spc="0" baseline="0">
                <a:solidFill>
                  <a:srgbClr val="404040"/>
                </a:solidFill>
                <a:uFillTx/>
                <a:latin typeface="Calibri"/>
              </a:rPr>
              <a:t>v  rokoch 2013 - 2018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5B9BD5">
                <a:alpha val="85000"/>
              </a:srgbClr>
            </a:solidFill>
            <a:ln>
              <a:noFill/>
            </a:ln>
          </c:spPr>
          <c:cat>
            <c:numRef>
              <c:f>Vývoj_dlhovej_služby!$C$8:$H$8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Vývoj_dlhovej_služby!$C$11:$H$11</c:f>
              <c:numCache>
                <c:formatCode>#,##0</c:formatCode>
                <c:ptCount val="6"/>
                <c:pt idx="0">
                  <c:v>9293</c:v>
                </c:pt>
                <c:pt idx="1">
                  <c:v>16598</c:v>
                </c:pt>
                <c:pt idx="2">
                  <c:v>14037</c:v>
                </c:pt>
                <c:pt idx="3">
                  <c:v>12053</c:v>
                </c:pt>
                <c:pt idx="4">
                  <c:v>12394</c:v>
                </c:pt>
                <c:pt idx="5">
                  <c:v>13381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62592"/>
        <c:axId val="334762200"/>
      </c:areaChart>
      <c:valAx>
        <c:axId val="3347622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BFBFBF">
                  <a:alpha val="36000"/>
                </a:srgbClr>
              </a:solidFill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404040"/>
                </a:solidFill>
                <a:latin typeface="Calibri"/>
              </a:defRPr>
            </a:pPr>
            <a:endParaRPr lang="sk-SK"/>
          </a:p>
        </c:txPr>
        <c:crossAx val="334762592"/>
        <c:crosses val="autoZero"/>
        <c:crossBetween val="midCat"/>
      </c:valAx>
      <c:catAx>
        <c:axId val="3347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46" cap="flat">
            <a:solidFill>
              <a:srgbClr val="40404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cap="all" baseline="0">
                <a:solidFill>
                  <a:srgbClr val="404040"/>
                </a:solidFill>
                <a:latin typeface="Calibri"/>
              </a:defRPr>
            </a:pPr>
            <a:endParaRPr lang="sk-SK"/>
          </a:p>
        </c:txPr>
        <c:crossAx val="3347622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gradFill>
      <a:gsLst>
        <a:gs pos="0">
          <a:srgbClr val="FFFFFF"/>
        </a:gs>
        <a:gs pos="100000">
          <a:srgbClr val="FFFFFF"/>
        </a:gs>
      </a:gsLst>
      <a:path path="circle">
        <a:fillToRect l="50000" t="-80000" r="50000" b="180000"/>
      </a:path>
    </a:gradFill>
    <a:ln w="9528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sk-SK" sz="900" b="0" i="0" u="none" strike="noStrike" kern="1200" baseline="0">
          <a:solidFill>
            <a:srgbClr val="000000"/>
          </a:solidFill>
          <a:latin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302922</xdr:colOff>
      <xdr:row>9</xdr:row>
      <xdr:rowOff>2670</xdr:rowOff>
    </xdr:from>
    <xdr:ext cx="184727" cy="937625"/>
    <xdr:sp macro="" textlink="">
      <xdr:nvSpPr>
        <xdr:cNvPr id="3" name="Obdĺžnik 1"/>
        <xdr:cNvSpPr/>
      </xdr:nvSpPr>
      <xdr:spPr>
        <a:xfrm>
          <a:off x="12285372" y="20219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302922</xdr:colOff>
      <xdr:row>28</xdr:row>
      <xdr:rowOff>0</xdr:rowOff>
    </xdr:from>
    <xdr:ext cx="184727" cy="937625"/>
    <xdr:sp macro="" textlink="">
      <xdr:nvSpPr>
        <xdr:cNvPr id="7" name="Obdĺžnik 2"/>
        <xdr:cNvSpPr/>
      </xdr:nvSpPr>
      <xdr:spPr>
        <a:xfrm>
          <a:off x="12285372" y="56959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302922</xdr:colOff>
      <xdr:row>6</xdr:row>
      <xdr:rowOff>250326</xdr:rowOff>
    </xdr:from>
    <xdr:ext cx="184727" cy="937625"/>
    <xdr:sp macro="" textlink="">
      <xdr:nvSpPr>
        <xdr:cNvPr id="2" name="Obdĺžnik 3"/>
        <xdr:cNvSpPr/>
      </xdr:nvSpPr>
      <xdr:spPr>
        <a:xfrm>
          <a:off x="12285372" y="1517151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302922</xdr:colOff>
      <xdr:row>27</xdr:row>
      <xdr:rowOff>0</xdr:rowOff>
    </xdr:from>
    <xdr:ext cx="184727" cy="937625"/>
    <xdr:sp macro="" textlink="">
      <xdr:nvSpPr>
        <xdr:cNvPr id="6" name="Obdĺžnik 4"/>
        <xdr:cNvSpPr/>
      </xdr:nvSpPr>
      <xdr:spPr>
        <a:xfrm>
          <a:off x="12285372" y="550545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302922</xdr:colOff>
      <xdr:row>15</xdr:row>
      <xdr:rowOff>2670</xdr:rowOff>
    </xdr:from>
    <xdr:ext cx="184727" cy="937625"/>
    <xdr:sp macro="" textlink="">
      <xdr:nvSpPr>
        <xdr:cNvPr id="5" name="Obdĺžnik 5"/>
        <xdr:cNvSpPr/>
      </xdr:nvSpPr>
      <xdr:spPr>
        <a:xfrm>
          <a:off x="12285372" y="310782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53</xdr:row>
      <xdr:rowOff>0</xdr:rowOff>
    </xdr:from>
    <xdr:ext cx="184727" cy="937625"/>
    <xdr:sp macro="" textlink="">
      <xdr:nvSpPr>
        <xdr:cNvPr id="9" name="Obdĺžnik 6"/>
        <xdr:cNvSpPr/>
      </xdr:nvSpPr>
      <xdr:spPr>
        <a:xfrm>
          <a:off x="4036722" y="104775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9</xdr:col>
      <xdr:colOff>302922</xdr:colOff>
      <xdr:row>13</xdr:row>
      <xdr:rowOff>2670</xdr:rowOff>
    </xdr:from>
    <xdr:ext cx="184727" cy="937625"/>
    <xdr:sp macro="" textlink="">
      <xdr:nvSpPr>
        <xdr:cNvPr id="4" name="Obdĺžnik 7"/>
        <xdr:cNvSpPr/>
      </xdr:nvSpPr>
      <xdr:spPr>
        <a:xfrm>
          <a:off x="12285372" y="274587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3</xdr:col>
      <xdr:colOff>302922</xdr:colOff>
      <xdr:row>52</xdr:row>
      <xdr:rowOff>0</xdr:rowOff>
    </xdr:from>
    <xdr:ext cx="184727" cy="937625"/>
    <xdr:sp macro="" textlink="">
      <xdr:nvSpPr>
        <xdr:cNvPr id="8" name="Obdĺžnik 8"/>
        <xdr:cNvSpPr/>
      </xdr:nvSpPr>
      <xdr:spPr>
        <a:xfrm>
          <a:off x="4036722" y="10287000"/>
          <a:ext cx="184727" cy="937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none" lIns="91440" tIns="45720" rIns="91440" bIns="45720" anchor="t" anchorCtr="1" compatLnSpc="0">
          <a:sp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sk-SK" sz="54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25</xdr:row>
      <xdr:rowOff>95253</xdr:rowOff>
    </xdr:from>
    <xdr:ext cx="5076821" cy="2928932"/>
    <xdr:graphicFrame macro="">
      <xdr:nvGraphicFramePr>
        <xdr:cNvPr id="2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komonicky%20utvar/-%20Oddelenie%20%20financne/MFT602/Capova/ROZPO&#268;ET2018/Finan&#269;n&#233;%20spr&#225;vy%202018/Plnenie%20rozpo&#269;tu%20k%203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jmy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Sumarizácia"/>
      <sheetName val="KV"/>
      <sheetName val="výdavky"/>
      <sheetName val="kapitálové výdavky"/>
      <sheetName val="ESA"/>
      <sheetName val="Hárok2"/>
      <sheetName val="Hárok1"/>
    </sheetNames>
    <sheetDataSet>
      <sheetData sheetId="0">
        <row r="6">
          <cell r="H6">
            <v>29455319</v>
          </cell>
        </row>
        <row r="22">
          <cell r="H22">
            <v>5347659</v>
          </cell>
        </row>
        <row r="421">
          <cell r="H421">
            <v>8887986</v>
          </cell>
        </row>
        <row r="503">
          <cell r="H503">
            <v>1399175</v>
          </cell>
        </row>
        <row r="510">
          <cell r="H510">
            <v>3296941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F4">
            <v>38899319</v>
          </cell>
          <cell r="I4">
            <v>13573459</v>
          </cell>
        </row>
        <row r="23">
          <cell r="L23">
            <v>6720378</v>
          </cell>
        </row>
        <row r="24">
          <cell r="L24">
            <v>3491</v>
          </cell>
        </row>
        <row r="25">
          <cell r="L25">
            <v>103850</v>
          </cell>
        </row>
        <row r="26">
          <cell r="L26">
            <v>560291</v>
          </cell>
        </row>
        <row r="27">
          <cell r="L27">
            <v>3210000</v>
          </cell>
        </row>
        <row r="28">
          <cell r="L28">
            <v>1529840</v>
          </cell>
        </row>
        <row r="29">
          <cell r="L29">
            <v>770210</v>
          </cell>
        </row>
        <row r="30">
          <cell r="L30">
            <v>216908</v>
          </cell>
        </row>
        <row r="31">
          <cell r="L31">
            <v>2000</v>
          </cell>
        </row>
        <row r="32">
          <cell r="L32">
            <v>108900</v>
          </cell>
        </row>
        <row r="33">
          <cell r="L33">
            <v>2300</v>
          </cell>
        </row>
        <row r="34">
          <cell r="L34">
            <v>275</v>
          </cell>
        </row>
        <row r="35">
          <cell r="L35">
            <v>406451</v>
          </cell>
        </row>
        <row r="36">
          <cell r="L36">
            <v>59053</v>
          </cell>
        </row>
        <row r="37">
          <cell r="L37">
            <v>14919</v>
          </cell>
        </row>
        <row r="38">
          <cell r="L38">
            <v>19075</v>
          </cell>
        </row>
        <row r="39">
          <cell r="L39">
            <v>9025</v>
          </cell>
        </row>
        <row r="40">
          <cell r="L40">
            <v>13163</v>
          </cell>
        </row>
        <row r="41">
          <cell r="L41">
            <v>6192</v>
          </cell>
        </row>
        <row r="42">
          <cell r="L42">
            <v>19399</v>
          </cell>
        </row>
        <row r="43">
          <cell r="L43">
            <v>22294</v>
          </cell>
        </row>
        <row r="44">
          <cell r="L44">
            <v>3275755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tabSelected="1" workbookViewId="0"/>
  </sheetViews>
  <sheetFormatPr defaultRowHeight="14.25" x14ac:dyDescent="0.2"/>
  <cols>
    <col min="1" max="1" width="1.85546875" style="1" customWidth="1"/>
    <col min="2" max="2" width="5.140625" style="1" customWidth="1"/>
    <col min="3" max="3" width="37.42578125" style="1" customWidth="1"/>
    <col min="4" max="4" width="13.140625" style="1" customWidth="1"/>
    <col min="5" max="5" width="11.28515625" style="1" customWidth="1"/>
    <col min="6" max="6" width="9.5703125" style="1" bestFit="1" customWidth="1"/>
    <col min="7" max="7" width="11.7109375" style="1" customWidth="1"/>
    <col min="8" max="9" width="11.85546875" style="1" customWidth="1"/>
    <col min="10" max="10" width="10.7109375" style="1" customWidth="1"/>
    <col min="11" max="11" width="10.28515625" style="1" customWidth="1"/>
    <col min="12" max="12" width="14" style="1" customWidth="1"/>
    <col min="13" max="13" width="9.140625" style="1" customWidth="1"/>
    <col min="14" max="16384" width="9.140625" style="1"/>
  </cols>
  <sheetData>
    <row r="3" spans="2:12" ht="18.75" customHeight="1" x14ac:dyDescent="0.25">
      <c r="C3" s="644" t="s">
        <v>0</v>
      </c>
      <c r="D3" s="644"/>
      <c r="E3" s="644"/>
      <c r="F3" s="644"/>
      <c r="G3" s="644"/>
      <c r="H3" s="644"/>
      <c r="I3" s="644"/>
      <c r="J3" s="644"/>
      <c r="K3" s="644"/>
    </row>
    <row r="4" spans="2:12" ht="15" thickBot="1" x14ac:dyDescent="0.25"/>
    <row r="5" spans="2:12" ht="45" x14ac:dyDescent="0.2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  <c r="L5" s="6" t="s">
        <v>10</v>
      </c>
    </row>
    <row r="6" spans="2:12" ht="15" x14ac:dyDescent="0.25">
      <c r="B6" s="7" t="s">
        <v>11</v>
      </c>
      <c r="C6" s="8" t="s">
        <v>12</v>
      </c>
      <c r="D6" s="9">
        <v>256484.2</v>
      </c>
      <c r="E6" s="9">
        <v>21253.7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v>0</v>
      </c>
      <c r="L6" s="11">
        <f t="shared" ref="L6:L24" si="0">D6+E6+F6+G6+H6+I6+J6+K6</f>
        <v>277737.90000000002</v>
      </c>
    </row>
    <row r="7" spans="2:12" ht="15" x14ac:dyDescent="0.25">
      <c r="B7" s="7" t="s">
        <v>13</v>
      </c>
      <c r="C7" s="8" t="s">
        <v>14</v>
      </c>
      <c r="D7" s="9">
        <v>116266866.34999999</v>
      </c>
      <c r="E7" s="9">
        <v>59202261.030000001</v>
      </c>
      <c r="F7" s="9">
        <v>484945.93</v>
      </c>
      <c r="G7" s="9">
        <v>1937627.65</v>
      </c>
      <c r="H7" s="9">
        <v>134859.96</v>
      </c>
      <c r="I7" s="9">
        <v>7190992.5499999998</v>
      </c>
      <c r="J7" s="9">
        <v>7498.92</v>
      </c>
      <c r="K7" s="10">
        <v>436187.54</v>
      </c>
      <c r="L7" s="11">
        <f t="shared" si="0"/>
        <v>185661239.93000001</v>
      </c>
    </row>
    <row r="8" spans="2:12" ht="15" x14ac:dyDescent="0.25">
      <c r="B8" s="7" t="s">
        <v>15</v>
      </c>
      <c r="C8" s="8" t="s">
        <v>16</v>
      </c>
      <c r="D8" s="9">
        <v>16091773.390000001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v>0</v>
      </c>
      <c r="L8" s="11">
        <f t="shared" si="0"/>
        <v>16091773.390000001</v>
      </c>
    </row>
    <row r="9" spans="2:12" ht="15" x14ac:dyDescent="0.25">
      <c r="B9" s="7" t="s">
        <v>17</v>
      </c>
      <c r="C9" s="8" t="s">
        <v>18</v>
      </c>
      <c r="D9" s="9">
        <v>16555.12</v>
      </c>
      <c r="E9" s="9">
        <v>19966.07</v>
      </c>
      <c r="F9" s="9">
        <v>20006.82</v>
      </c>
      <c r="G9" s="9">
        <v>10114.01</v>
      </c>
      <c r="H9" s="9">
        <v>0</v>
      </c>
      <c r="I9" s="9">
        <v>28750.28</v>
      </c>
      <c r="J9" s="9">
        <v>0</v>
      </c>
      <c r="K9" s="10">
        <v>0</v>
      </c>
      <c r="L9" s="11">
        <f t="shared" si="0"/>
        <v>95392.3</v>
      </c>
    </row>
    <row r="10" spans="2:12" ht="15" x14ac:dyDescent="0.25">
      <c r="B10" s="7" t="s">
        <v>19</v>
      </c>
      <c r="C10" s="8" t="s">
        <v>20</v>
      </c>
      <c r="D10" s="9">
        <v>69439037.810000002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  <c r="L10" s="11">
        <f t="shared" si="0"/>
        <v>69439037.810000002</v>
      </c>
    </row>
    <row r="11" spans="2:12" ht="15" x14ac:dyDescent="0.25">
      <c r="B11" s="7" t="s">
        <v>21</v>
      </c>
      <c r="C11" s="8" t="s">
        <v>22</v>
      </c>
      <c r="D11" s="9">
        <f>477043.38+600277.01</f>
        <v>1077320.3900000001</v>
      </c>
      <c r="E11" s="9">
        <f>615.55+20753.67</f>
        <v>21369.219999999998</v>
      </c>
      <c r="F11" s="9">
        <v>71821.91</v>
      </c>
      <c r="G11" s="9">
        <v>2655.5</v>
      </c>
      <c r="H11" s="9">
        <v>0</v>
      </c>
      <c r="I11" s="9">
        <v>23740.26</v>
      </c>
      <c r="J11" s="9">
        <v>157.62</v>
      </c>
      <c r="K11" s="10">
        <v>0</v>
      </c>
      <c r="L11" s="11">
        <f t="shared" si="0"/>
        <v>1197064.9000000001</v>
      </c>
    </row>
    <row r="12" spans="2:12" ht="15" x14ac:dyDescent="0.25">
      <c r="B12" s="7" t="s">
        <v>23</v>
      </c>
      <c r="C12" s="8" t="s">
        <v>24</v>
      </c>
      <c r="D12" s="9">
        <v>6627205.4000000004</v>
      </c>
      <c r="E12" s="9">
        <v>9004.1</v>
      </c>
      <c r="F12" s="9">
        <v>11455.27</v>
      </c>
      <c r="G12" s="9">
        <v>5166.59</v>
      </c>
      <c r="H12" s="9">
        <v>1166.93</v>
      </c>
      <c r="I12" s="9">
        <v>556806.24</v>
      </c>
      <c r="J12" s="9">
        <v>2377.27</v>
      </c>
      <c r="K12" s="10">
        <v>15489.95</v>
      </c>
      <c r="L12" s="11">
        <f t="shared" si="0"/>
        <v>7228671.7499999991</v>
      </c>
    </row>
    <row r="13" spans="2:12" ht="15.75" thickBot="1" x14ac:dyDescent="0.3">
      <c r="B13" s="7" t="s">
        <v>25</v>
      </c>
      <c r="C13" s="8" t="s">
        <v>26</v>
      </c>
      <c r="D13" s="9">
        <v>11653.29</v>
      </c>
      <c r="E13" s="9">
        <v>2896</v>
      </c>
      <c r="F13" s="9">
        <v>3707.5</v>
      </c>
      <c r="G13" s="9">
        <v>27358.77</v>
      </c>
      <c r="H13" s="9">
        <v>0</v>
      </c>
      <c r="I13" s="9">
        <v>9161.0300000000007</v>
      </c>
      <c r="J13" s="9">
        <v>566.79</v>
      </c>
      <c r="K13" s="10">
        <v>522.99</v>
      </c>
      <c r="L13" s="11">
        <f t="shared" si="0"/>
        <v>55866.369999999995</v>
      </c>
    </row>
    <row r="14" spans="2:12" customFormat="1" ht="15.75" thickTop="1" x14ac:dyDescent="0.25">
      <c r="B14" s="12"/>
      <c r="C14" s="13" t="s">
        <v>27</v>
      </c>
      <c r="D14" s="14">
        <f t="shared" ref="D14:K14" si="1">SUM(D6:D13)</f>
        <v>209786895.94999999</v>
      </c>
      <c r="E14" s="14">
        <f t="shared" si="1"/>
        <v>59276750.120000005</v>
      </c>
      <c r="F14" s="14">
        <f t="shared" si="1"/>
        <v>591937.43000000005</v>
      </c>
      <c r="G14" s="14">
        <f t="shared" si="1"/>
        <v>1982922.52</v>
      </c>
      <c r="H14" s="14">
        <f t="shared" si="1"/>
        <v>136026.88999999998</v>
      </c>
      <c r="I14" s="14">
        <f t="shared" si="1"/>
        <v>7809450.3600000003</v>
      </c>
      <c r="J14" s="14">
        <f t="shared" si="1"/>
        <v>10600.599999999999</v>
      </c>
      <c r="K14" s="15">
        <f t="shared" si="1"/>
        <v>452200.48</v>
      </c>
      <c r="L14" s="16">
        <f t="shared" si="0"/>
        <v>280046784.35000002</v>
      </c>
    </row>
    <row r="15" spans="2:12" customFormat="1" ht="15" x14ac:dyDescent="0.25">
      <c r="B15" s="7" t="s">
        <v>28</v>
      </c>
      <c r="C15" s="8" t="s">
        <v>29</v>
      </c>
      <c r="D15" s="9">
        <v>-1459420.72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0">
        <v>0</v>
      </c>
      <c r="L15" s="11">
        <f t="shared" si="0"/>
        <v>-1459420.72</v>
      </c>
    </row>
    <row r="16" spans="2:12" customFormat="1" ht="15" x14ac:dyDescent="0.25">
      <c r="B16" s="7" t="s">
        <v>30</v>
      </c>
      <c r="C16" s="8" t="s">
        <v>31</v>
      </c>
      <c r="D16" s="9">
        <v>177984003.44</v>
      </c>
      <c r="E16" s="9">
        <v>-104856.55</v>
      </c>
      <c r="F16" s="9">
        <v>-186597.39</v>
      </c>
      <c r="G16" s="9">
        <v>-235457.49</v>
      </c>
      <c r="H16" s="9">
        <v>-27045.25</v>
      </c>
      <c r="I16" s="9">
        <v>-350867.77</v>
      </c>
      <c r="J16" s="9">
        <v>-8216.07</v>
      </c>
      <c r="K16" s="10">
        <v>-58129.63</v>
      </c>
      <c r="L16" s="11">
        <f t="shared" si="0"/>
        <v>177012833.28999999</v>
      </c>
    </row>
    <row r="17" spans="2:12" customFormat="1" ht="15" x14ac:dyDescent="0.25">
      <c r="B17" s="7" t="s">
        <v>32</v>
      </c>
      <c r="C17" s="8" t="s">
        <v>33</v>
      </c>
      <c r="D17" s="9">
        <v>611767.74</v>
      </c>
      <c r="E17" s="9">
        <v>2500</v>
      </c>
      <c r="F17" s="9">
        <v>11318.14</v>
      </c>
      <c r="G17" s="9">
        <v>0</v>
      </c>
      <c r="H17" s="9">
        <v>0</v>
      </c>
      <c r="I17" s="9">
        <v>30867.81</v>
      </c>
      <c r="J17" s="9">
        <v>202.87</v>
      </c>
      <c r="K17" s="10">
        <v>900</v>
      </c>
      <c r="L17" s="11">
        <f t="shared" si="0"/>
        <v>657556.56000000006</v>
      </c>
    </row>
    <row r="18" spans="2:12" customFormat="1" ht="15" x14ac:dyDescent="0.25">
      <c r="B18" s="7" t="s">
        <v>34</v>
      </c>
      <c r="C18" s="8" t="s">
        <v>20</v>
      </c>
      <c r="D18" s="9">
        <v>149778.23999999999</v>
      </c>
      <c r="E18" s="9">
        <v>59244883.950000003</v>
      </c>
      <c r="F18" s="9">
        <v>524683.85</v>
      </c>
      <c r="G18" s="9">
        <v>1937627.65</v>
      </c>
      <c r="H18" s="9">
        <v>134859.96</v>
      </c>
      <c r="I18" s="9">
        <v>7153295.9400000004</v>
      </c>
      <c r="J18" s="9">
        <v>7498.92</v>
      </c>
      <c r="K18" s="10">
        <v>436187.54</v>
      </c>
      <c r="L18" s="11">
        <f t="shared" si="0"/>
        <v>69588816.050000012</v>
      </c>
    </row>
    <row r="19" spans="2:12" customFormat="1" ht="15" x14ac:dyDescent="0.25">
      <c r="B19" s="7" t="s">
        <v>35</v>
      </c>
      <c r="C19" s="8" t="s">
        <v>36</v>
      </c>
      <c r="D19" s="9">
        <v>3315593.99</v>
      </c>
      <c r="E19" s="9">
        <v>608.02</v>
      </c>
      <c r="F19" s="9">
        <v>10718.7</v>
      </c>
      <c r="G19" s="9">
        <v>2268.5100000000002</v>
      </c>
      <c r="H19" s="9">
        <v>1166.93</v>
      </c>
      <c r="I19" s="9">
        <v>35610.379999999997</v>
      </c>
      <c r="J19" s="9">
        <v>1539.71</v>
      </c>
      <c r="K19" s="10">
        <v>1557.95</v>
      </c>
      <c r="L19" s="11">
        <f t="shared" si="0"/>
        <v>3369064.1900000004</v>
      </c>
    </row>
    <row r="20" spans="2:12" customFormat="1" ht="15" x14ac:dyDescent="0.25">
      <c r="B20" s="7" t="s">
        <v>37</v>
      </c>
      <c r="C20" s="8" t="s">
        <v>38</v>
      </c>
      <c r="D20" s="9">
        <v>1777340.97</v>
      </c>
      <c r="E20" s="9">
        <v>129249.95</v>
      </c>
      <c r="F20" s="9">
        <v>199993.96</v>
      </c>
      <c r="G20" s="9">
        <v>278257.17</v>
      </c>
      <c r="H20" s="9">
        <v>27045.25</v>
      </c>
      <c r="I20" s="9">
        <v>893532.98</v>
      </c>
      <c r="J20" s="9">
        <v>9575.17</v>
      </c>
      <c r="K20" s="10">
        <v>71684.62</v>
      </c>
      <c r="L20" s="11">
        <f t="shared" si="0"/>
        <v>3386680.07</v>
      </c>
    </row>
    <row r="21" spans="2:12" customFormat="1" ht="15" x14ac:dyDescent="0.25">
      <c r="B21" s="7" t="s">
        <v>39</v>
      </c>
      <c r="C21" s="8" t="s">
        <v>40</v>
      </c>
      <c r="D21" s="9">
        <v>0</v>
      </c>
      <c r="E21" s="9">
        <v>4364.75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11">
        <f t="shared" si="0"/>
        <v>4364.75</v>
      </c>
    </row>
    <row r="22" spans="2:12" customFormat="1" ht="15" x14ac:dyDescent="0.25">
      <c r="B22" s="7" t="s">
        <v>41</v>
      </c>
      <c r="C22" s="8" t="s">
        <v>42</v>
      </c>
      <c r="D22" s="9">
        <v>14795076.41</v>
      </c>
      <c r="E22" s="9">
        <v>0</v>
      </c>
      <c r="F22" s="9">
        <v>31820.17</v>
      </c>
      <c r="G22" s="9">
        <v>226.68</v>
      </c>
      <c r="H22" s="9">
        <v>0</v>
      </c>
      <c r="I22" s="9">
        <v>47011.02</v>
      </c>
      <c r="J22" s="9">
        <v>0</v>
      </c>
      <c r="K22" s="10">
        <v>0</v>
      </c>
      <c r="L22" s="11">
        <f t="shared" si="0"/>
        <v>14874134.279999999</v>
      </c>
    </row>
    <row r="23" spans="2:12" customFormat="1" ht="15.75" thickBot="1" x14ac:dyDescent="0.3">
      <c r="B23" s="17" t="s">
        <v>43</v>
      </c>
      <c r="C23" s="18" t="s">
        <v>44</v>
      </c>
      <c r="D23" s="19">
        <v>12612755.880000001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21">
        <f t="shared" si="0"/>
        <v>12612755.880000001</v>
      </c>
    </row>
    <row r="24" spans="2:12" customFormat="1" ht="16.5" thickTop="1" thickBot="1" x14ac:dyDescent="0.3">
      <c r="B24" s="22"/>
      <c r="C24" s="23" t="s">
        <v>45</v>
      </c>
      <c r="D24" s="24">
        <f t="shared" ref="D24:K24" si="2">SUM(D15:D23)</f>
        <v>209786895.95000002</v>
      </c>
      <c r="E24" s="24">
        <f t="shared" si="2"/>
        <v>59276750.120000012</v>
      </c>
      <c r="F24" s="24">
        <f t="shared" si="2"/>
        <v>591937.43000000005</v>
      </c>
      <c r="G24" s="24">
        <f t="shared" si="2"/>
        <v>1982922.5199999998</v>
      </c>
      <c r="H24" s="24">
        <f t="shared" si="2"/>
        <v>136026.88999999998</v>
      </c>
      <c r="I24" s="24">
        <f t="shared" si="2"/>
        <v>7809450.3599999994</v>
      </c>
      <c r="J24" s="24">
        <f t="shared" si="2"/>
        <v>10600.6</v>
      </c>
      <c r="K24" s="25">
        <f t="shared" si="2"/>
        <v>452200.48</v>
      </c>
      <c r="L24" s="26">
        <f t="shared" si="0"/>
        <v>280046784.35000008</v>
      </c>
    </row>
  </sheetData>
  <mergeCells count="1">
    <mergeCell ref="C3:K3"/>
  </mergeCells>
  <pageMargins left="0.11811023622047202" right="0.11811023622047202" top="0.74803149606299213" bottom="0.74803149606299213" header="0.31496062992126012" footer="0.31496062992126012"/>
  <pageSetup paperSize="9" scale="9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4.25" x14ac:dyDescent="0.2"/>
  <cols>
    <col min="1" max="1" width="9.140625" style="1" customWidth="1"/>
    <col min="2" max="2" width="6.85546875" style="1" customWidth="1"/>
    <col min="3" max="3" width="40" style="1" customWidth="1"/>
    <col min="4" max="4" width="47.28515625" style="1" customWidth="1"/>
    <col min="5" max="5" width="9" style="1" customWidth="1"/>
    <col min="6" max="8" width="9.140625" style="1" customWidth="1"/>
    <col min="9" max="9" width="40" style="1" customWidth="1"/>
    <col min="10" max="10" width="10.42578125" style="1" customWidth="1"/>
    <col min="11" max="11" width="9.140625" style="1" customWidth="1"/>
    <col min="12" max="16384" width="9.140625" style="1"/>
  </cols>
  <sheetData>
    <row r="1" spans="1:10" customFormat="1" ht="15" x14ac:dyDescent="0.25">
      <c r="A1" s="1"/>
      <c r="B1" s="308"/>
      <c r="C1" s="308"/>
      <c r="D1" s="308"/>
      <c r="E1" s="308"/>
      <c r="F1" s="308"/>
      <c r="G1" s="308"/>
      <c r="H1" s="308"/>
      <c r="I1" s="308"/>
      <c r="J1" s="308"/>
    </row>
    <row r="2" spans="1:10" customFormat="1" ht="15" x14ac:dyDescent="0.25">
      <c r="A2" s="1"/>
      <c r="B2" s="308"/>
      <c r="C2" s="308"/>
      <c r="D2" s="308"/>
      <c r="E2" s="308"/>
      <c r="F2" s="308"/>
      <c r="G2" s="308"/>
      <c r="H2" s="308"/>
      <c r="I2" s="308"/>
      <c r="J2" s="308"/>
    </row>
    <row r="3" spans="1:10" customFormat="1" ht="18" x14ac:dyDescent="0.25">
      <c r="A3" s="1"/>
      <c r="B3" s="688" t="s">
        <v>332</v>
      </c>
      <c r="C3" s="688"/>
      <c r="D3" s="688"/>
      <c r="E3" s="688"/>
      <c r="F3" s="308"/>
      <c r="G3" s="308"/>
      <c r="H3" s="308"/>
      <c r="I3" s="308"/>
      <c r="J3" s="308"/>
    </row>
    <row r="4" spans="1:10" customFormat="1" ht="18" x14ac:dyDescent="0.25">
      <c r="A4" s="1"/>
      <c r="B4" s="323"/>
      <c r="C4" s="323"/>
      <c r="D4" s="323"/>
      <c r="E4" s="323"/>
      <c r="F4" s="308"/>
      <c r="G4" s="308"/>
      <c r="H4" s="308"/>
      <c r="I4" s="308"/>
      <c r="J4" s="308"/>
    </row>
    <row r="5" spans="1:10" customFormat="1" ht="18" x14ac:dyDescent="0.25">
      <c r="A5" s="1"/>
      <c r="B5" s="689" t="s">
        <v>333</v>
      </c>
      <c r="C5" s="689"/>
      <c r="D5" s="323"/>
      <c r="E5" s="323"/>
      <c r="F5" s="308"/>
      <c r="G5" s="308"/>
      <c r="H5" s="324" t="s">
        <v>334</v>
      </c>
      <c r="I5" s="324"/>
      <c r="J5" s="318"/>
    </row>
    <row r="6" spans="1:10" customFormat="1" ht="15.75" thickBot="1" x14ac:dyDescent="0.3">
      <c r="A6" s="1"/>
      <c r="B6" s="308"/>
      <c r="C6" s="308"/>
      <c r="D6" s="308"/>
      <c r="E6" s="308"/>
      <c r="F6" s="308"/>
      <c r="G6" s="308"/>
      <c r="H6" s="318"/>
      <c r="I6" s="318"/>
      <c r="J6" s="318"/>
    </row>
    <row r="7" spans="1:10" customFormat="1" ht="30.75" thickBot="1" x14ac:dyDescent="0.3">
      <c r="A7" s="1"/>
      <c r="B7" s="311" t="s">
        <v>222</v>
      </c>
      <c r="C7" s="325" t="s">
        <v>335</v>
      </c>
      <c r="D7" s="325" t="s">
        <v>336</v>
      </c>
      <c r="E7" s="326" t="s">
        <v>297</v>
      </c>
      <c r="F7" s="308"/>
      <c r="G7" s="308"/>
      <c r="H7" s="311" t="s">
        <v>222</v>
      </c>
      <c r="I7" s="312" t="s">
        <v>335</v>
      </c>
      <c r="J7" s="313" t="s">
        <v>297</v>
      </c>
    </row>
    <row r="8" spans="1:10" s="67" customFormat="1" x14ac:dyDescent="0.2">
      <c r="B8" s="327">
        <v>1</v>
      </c>
      <c r="C8" s="328" t="s">
        <v>337</v>
      </c>
      <c r="D8" s="328" t="s">
        <v>338</v>
      </c>
      <c r="E8" s="329">
        <v>280</v>
      </c>
      <c r="F8" s="318"/>
      <c r="G8" s="318"/>
      <c r="H8" s="315">
        <v>1</v>
      </c>
      <c r="I8" s="316" t="s">
        <v>339</v>
      </c>
      <c r="J8" s="317">
        <v>900</v>
      </c>
    </row>
    <row r="9" spans="1:10" s="67" customFormat="1" x14ac:dyDescent="0.2">
      <c r="B9" s="327">
        <v>2</v>
      </c>
      <c r="C9" s="330" t="s">
        <v>340</v>
      </c>
      <c r="D9" s="330" t="s">
        <v>341</v>
      </c>
      <c r="E9" s="331">
        <v>1147</v>
      </c>
      <c r="F9" s="318"/>
      <c r="G9" s="318"/>
      <c r="H9" s="315">
        <v>2</v>
      </c>
      <c r="I9" s="316" t="s">
        <v>342</v>
      </c>
      <c r="J9" s="319">
        <v>1000</v>
      </c>
    </row>
    <row r="10" spans="1:10" s="67" customFormat="1" x14ac:dyDescent="0.2">
      <c r="B10" s="327">
        <v>3</v>
      </c>
      <c r="C10" s="330" t="s">
        <v>343</v>
      </c>
      <c r="D10" s="330" t="s">
        <v>344</v>
      </c>
      <c r="E10" s="331">
        <v>1300</v>
      </c>
      <c r="F10" s="318"/>
      <c r="G10" s="318"/>
      <c r="H10" s="315">
        <v>3</v>
      </c>
      <c r="I10" s="316" t="s">
        <v>345</v>
      </c>
      <c r="J10" s="319">
        <v>700</v>
      </c>
    </row>
    <row r="11" spans="1:10" s="67" customFormat="1" x14ac:dyDescent="0.2">
      <c r="B11" s="327">
        <v>4</v>
      </c>
      <c r="C11" s="330" t="s">
        <v>346</v>
      </c>
      <c r="D11" s="330" t="s">
        <v>347</v>
      </c>
      <c r="E11" s="331">
        <v>700</v>
      </c>
      <c r="F11" s="318"/>
      <c r="G11" s="318"/>
      <c r="H11" s="315">
        <v>4</v>
      </c>
      <c r="I11" s="332" t="s">
        <v>348</v>
      </c>
      <c r="J11" s="319">
        <v>500</v>
      </c>
    </row>
    <row r="12" spans="1:10" s="67" customFormat="1" x14ac:dyDescent="0.2">
      <c r="B12" s="327">
        <v>5</v>
      </c>
      <c r="C12" s="330" t="s">
        <v>349</v>
      </c>
      <c r="D12" s="330" t="s">
        <v>350</v>
      </c>
      <c r="E12" s="331">
        <v>773</v>
      </c>
      <c r="F12" s="318"/>
      <c r="G12" s="318"/>
      <c r="H12" s="315">
        <v>5</v>
      </c>
      <c r="I12" s="316" t="s">
        <v>351</v>
      </c>
      <c r="J12" s="319">
        <v>600</v>
      </c>
    </row>
    <row r="13" spans="1:10" s="67" customFormat="1" x14ac:dyDescent="0.2">
      <c r="B13" s="327">
        <v>6</v>
      </c>
      <c r="C13" s="330" t="s">
        <v>352</v>
      </c>
      <c r="D13" s="330" t="s">
        <v>353</v>
      </c>
      <c r="E13" s="331">
        <v>1800</v>
      </c>
      <c r="F13" s="318"/>
      <c r="G13" s="318"/>
      <c r="H13" s="315">
        <v>6</v>
      </c>
      <c r="I13" s="316" t="s">
        <v>354</v>
      </c>
      <c r="J13" s="319"/>
    </row>
    <row r="14" spans="1:10" s="67" customFormat="1" x14ac:dyDescent="0.2">
      <c r="B14" s="327">
        <v>7</v>
      </c>
      <c r="C14" s="330" t="s">
        <v>355</v>
      </c>
      <c r="D14" s="330" t="s">
        <v>356</v>
      </c>
      <c r="E14" s="331">
        <v>800</v>
      </c>
      <c r="F14" s="318"/>
      <c r="G14" s="318"/>
      <c r="H14" s="315">
        <v>7</v>
      </c>
      <c r="I14" s="332" t="s">
        <v>357</v>
      </c>
      <c r="J14" s="319">
        <v>400</v>
      </c>
    </row>
    <row r="15" spans="1:10" s="67" customFormat="1" x14ac:dyDescent="0.2">
      <c r="B15" s="327">
        <v>8</v>
      </c>
      <c r="C15" s="330" t="s">
        <v>343</v>
      </c>
      <c r="D15" s="330" t="s">
        <v>358</v>
      </c>
      <c r="E15" s="331">
        <v>500</v>
      </c>
      <c r="F15" s="318"/>
      <c r="G15" s="318"/>
      <c r="H15" s="315">
        <v>8</v>
      </c>
      <c r="I15" s="332" t="s">
        <v>359</v>
      </c>
      <c r="J15" s="319">
        <v>500</v>
      </c>
    </row>
    <row r="16" spans="1:10" s="67" customFormat="1" x14ac:dyDescent="0.2">
      <c r="B16" s="327">
        <v>9</v>
      </c>
      <c r="C16" s="330" t="s">
        <v>340</v>
      </c>
      <c r="D16" s="330" t="s">
        <v>360</v>
      </c>
      <c r="E16" s="331">
        <v>830</v>
      </c>
      <c r="F16" s="318"/>
      <c r="G16" s="318"/>
      <c r="H16" s="315">
        <v>9</v>
      </c>
      <c r="I16" s="316" t="s">
        <v>361</v>
      </c>
      <c r="J16" s="319">
        <v>700</v>
      </c>
    </row>
    <row r="17" spans="1:10" s="67" customFormat="1" ht="18.75" customHeight="1" thickBot="1" x14ac:dyDescent="0.25">
      <c r="B17" s="327">
        <v>10</v>
      </c>
      <c r="C17" s="333" t="s">
        <v>362</v>
      </c>
      <c r="D17" s="333" t="s">
        <v>363</v>
      </c>
      <c r="E17" s="334">
        <v>1500</v>
      </c>
      <c r="F17" s="318"/>
      <c r="G17" s="318"/>
      <c r="H17" s="315">
        <v>10</v>
      </c>
      <c r="I17" s="316" t="s">
        <v>364</v>
      </c>
      <c r="J17" s="319">
        <v>950</v>
      </c>
    </row>
    <row r="18" spans="1:10" s="67" customFormat="1" ht="16.5" thickBot="1" x14ac:dyDescent="0.25">
      <c r="B18" s="335"/>
      <c r="C18" s="690" t="s">
        <v>10</v>
      </c>
      <c r="D18" s="690"/>
      <c r="E18" s="322">
        <v>9630</v>
      </c>
      <c r="F18" s="318"/>
      <c r="G18" s="318"/>
      <c r="H18" s="315">
        <v>11</v>
      </c>
      <c r="I18" s="316" t="s">
        <v>365</v>
      </c>
      <c r="J18" s="319">
        <v>800</v>
      </c>
    </row>
    <row r="19" spans="1:10" s="67" customFormat="1" ht="18.75" customHeight="1" x14ac:dyDescent="0.2">
      <c r="B19" s="318"/>
      <c r="C19" s="318"/>
      <c r="D19" s="318"/>
      <c r="E19" s="318"/>
      <c r="F19" s="308"/>
      <c r="G19" s="308"/>
      <c r="H19" s="315">
        <v>12</v>
      </c>
      <c r="I19" s="316" t="s">
        <v>366</v>
      </c>
      <c r="J19" s="319">
        <v>0</v>
      </c>
    </row>
    <row r="20" spans="1:10" s="67" customFormat="1" x14ac:dyDescent="0.2">
      <c r="B20" s="318"/>
      <c r="C20" s="318"/>
      <c r="D20" s="318"/>
      <c r="E20" s="318"/>
      <c r="F20" s="308"/>
      <c r="G20" s="308"/>
      <c r="H20" s="315">
        <v>13</v>
      </c>
      <c r="I20" s="316" t="s">
        <v>367</v>
      </c>
      <c r="J20" s="319">
        <v>950</v>
      </c>
    </row>
    <row r="21" spans="1:10" s="67" customFormat="1" ht="16.5" customHeight="1" x14ac:dyDescent="0.2">
      <c r="B21" s="308"/>
      <c r="C21" s="308"/>
      <c r="D21" s="336"/>
      <c r="E21" s="318"/>
      <c r="F21" s="308"/>
      <c r="G21" s="337"/>
      <c r="H21" s="315">
        <v>14</v>
      </c>
      <c r="I21" s="316" t="s">
        <v>368</v>
      </c>
      <c r="J21" s="319">
        <v>300</v>
      </c>
    </row>
    <row r="22" spans="1:10" customFormat="1" ht="15" x14ac:dyDescent="0.25">
      <c r="A22" s="1"/>
      <c r="B22" s="308"/>
      <c r="C22" s="308"/>
      <c r="D22" s="308"/>
      <c r="E22" s="318"/>
      <c r="F22" s="308"/>
      <c r="G22" s="337"/>
      <c r="H22" s="315">
        <v>15</v>
      </c>
      <c r="I22" s="316" t="s">
        <v>319</v>
      </c>
      <c r="J22" s="319">
        <v>500</v>
      </c>
    </row>
    <row r="23" spans="1:10" customFormat="1" ht="15" x14ac:dyDescent="0.25">
      <c r="A23" s="1"/>
      <c r="B23" s="308"/>
      <c r="C23" s="308"/>
      <c r="D23" s="308"/>
      <c r="E23" s="318"/>
      <c r="F23" s="308"/>
      <c r="G23" s="308"/>
      <c r="H23" s="315">
        <v>16</v>
      </c>
      <c r="I23" s="316" t="s">
        <v>369</v>
      </c>
      <c r="J23" s="319">
        <v>800</v>
      </c>
    </row>
    <row r="24" spans="1:10" customFormat="1" ht="15" x14ac:dyDescent="0.25">
      <c r="A24" s="1"/>
      <c r="B24" s="308"/>
      <c r="C24" s="308"/>
      <c r="D24" s="308"/>
      <c r="E24" s="318"/>
      <c r="F24" s="308"/>
      <c r="G24" s="308"/>
      <c r="H24" s="315">
        <v>17</v>
      </c>
      <c r="I24" s="316" t="s">
        <v>370</v>
      </c>
      <c r="J24" s="319">
        <v>300</v>
      </c>
    </row>
    <row r="25" spans="1:10" customFormat="1" ht="15" x14ac:dyDescent="0.25">
      <c r="A25" s="1"/>
      <c r="B25" s="308"/>
      <c r="C25" s="308"/>
      <c r="D25" s="308"/>
      <c r="E25" s="318"/>
      <c r="F25" s="308"/>
      <c r="G25" s="308"/>
      <c r="H25" s="315">
        <v>18</v>
      </c>
      <c r="I25" s="316" t="s">
        <v>371</v>
      </c>
      <c r="J25" s="319">
        <v>400</v>
      </c>
    </row>
    <row r="26" spans="1:10" customFormat="1" ht="15" x14ac:dyDescent="0.25">
      <c r="A26" s="1"/>
      <c r="B26" s="308"/>
      <c r="C26" s="308"/>
      <c r="D26" s="308"/>
      <c r="E26" s="318"/>
      <c r="F26" s="308"/>
      <c r="G26" s="308"/>
      <c r="H26" s="315">
        <v>19</v>
      </c>
      <c r="I26" s="316" t="s">
        <v>311</v>
      </c>
      <c r="J26" s="317">
        <v>900</v>
      </c>
    </row>
    <row r="27" spans="1:10" customFormat="1" ht="15" x14ac:dyDescent="0.25">
      <c r="A27" s="1"/>
      <c r="B27" s="308"/>
      <c r="C27" s="308"/>
      <c r="D27" s="308"/>
      <c r="E27" s="318"/>
      <c r="F27" s="308"/>
      <c r="G27" s="308"/>
      <c r="H27" s="315">
        <v>20</v>
      </c>
      <c r="I27" s="316" t="s">
        <v>372</v>
      </c>
      <c r="J27" s="319">
        <v>900</v>
      </c>
    </row>
    <row r="28" spans="1:10" s="67" customFormat="1" x14ac:dyDescent="0.2">
      <c r="B28" s="308"/>
      <c r="C28" s="308"/>
      <c r="D28" s="308"/>
      <c r="E28" s="318"/>
      <c r="F28" s="308"/>
      <c r="G28" s="308"/>
      <c r="H28" s="315">
        <v>21</v>
      </c>
      <c r="I28" s="316" t="s">
        <v>373</v>
      </c>
      <c r="J28" s="319">
        <v>500</v>
      </c>
    </row>
    <row r="29" spans="1:10" s="67" customFormat="1" x14ac:dyDescent="0.2">
      <c r="B29" s="308"/>
      <c r="C29" s="308"/>
      <c r="D29" s="308"/>
      <c r="E29" s="318"/>
      <c r="F29" s="308"/>
      <c r="G29" s="308"/>
      <c r="H29" s="315">
        <v>22</v>
      </c>
      <c r="I29" s="316" t="s">
        <v>374</v>
      </c>
      <c r="J29" s="317">
        <v>500</v>
      </c>
    </row>
    <row r="30" spans="1:10" s="67" customFormat="1" ht="13.5" customHeight="1" x14ac:dyDescent="0.2">
      <c r="B30" s="308"/>
      <c r="C30" s="308"/>
      <c r="D30" s="308"/>
      <c r="E30" s="318"/>
      <c r="F30" s="308"/>
      <c r="G30" s="308"/>
      <c r="H30" s="315">
        <v>23</v>
      </c>
      <c r="I30" s="316" t="s">
        <v>375</v>
      </c>
      <c r="J30" s="317">
        <v>900</v>
      </c>
    </row>
    <row r="31" spans="1:10" s="67" customFormat="1" x14ac:dyDescent="0.2">
      <c r="B31" s="308"/>
      <c r="C31" s="308"/>
      <c r="D31" s="308"/>
      <c r="E31" s="318"/>
      <c r="F31" s="308"/>
      <c r="G31" s="308"/>
      <c r="H31" s="315">
        <v>24</v>
      </c>
      <c r="I31" s="316" t="s">
        <v>367</v>
      </c>
      <c r="J31" s="317">
        <v>0</v>
      </c>
    </row>
    <row r="32" spans="1:10" s="67" customFormat="1" ht="15" customHeight="1" x14ac:dyDescent="0.2">
      <c r="B32" s="308"/>
      <c r="C32" s="308"/>
      <c r="D32" s="308"/>
      <c r="E32" s="318"/>
      <c r="F32" s="308"/>
      <c r="G32" s="308"/>
      <c r="H32" s="315">
        <v>25</v>
      </c>
      <c r="I32" s="316" t="s">
        <v>376</v>
      </c>
      <c r="J32" s="317">
        <v>500</v>
      </c>
    </row>
    <row r="33" spans="2:10" s="67" customFormat="1" ht="18.75" customHeight="1" x14ac:dyDescent="0.2">
      <c r="B33" s="308"/>
      <c r="C33" s="308"/>
      <c r="D33" s="308"/>
      <c r="E33" s="318"/>
      <c r="F33" s="308"/>
      <c r="G33" s="308"/>
      <c r="H33" s="315">
        <v>26</v>
      </c>
      <c r="I33" s="316" t="s">
        <v>377</v>
      </c>
      <c r="J33" s="317">
        <v>400</v>
      </c>
    </row>
    <row r="34" spans="2:10" s="67" customFormat="1" x14ac:dyDescent="0.2">
      <c r="B34" s="308"/>
      <c r="C34" s="308"/>
      <c r="D34" s="308"/>
      <c r="E34" s="318"/>
      <c r="F34" s="308"/>
      <c r="G34" s="308"/>
      <c r="H34" s="315">
        <v>27</v>
      </c>
      <c r="I34" s="316" t="s">
        <v>378</v>
      </c>
      <c r="J34" s="317">
        <v>500</v>
      </c>
    </row>
    <row r="35" spans="2:10" s="67" customFormat="1" x14ac:dyDescent="0.2">
      <c r="B35" s="308"/>
      <c r="C35" s="308"/>
      <c r="D35" s="308"/>
      <c r="E35" s="318"/>
      <c r="F35" s="308"/>
      <c r="G35" s="308"/>
      <c r="H35" s="315">
        <v>28</v>
      </c>
      <c r="I35" s="316" t="s">
        <v>379</v>
      </c>
      <c r="J35" s="317">
        <v>700</v>
      </c>
    </row>
    <row r="36" spans="2:10" s="67" customFormat="1" x14ac:dyDescent="0.2">
      <c r="B36" s="308"/>
      <c r="C36" s="308"/>
      <c r="D36" s="308"/>
      <c r="E36" s="318"/>
      <c r="F36" s="308"/>
      <c r="G36" s="308"/>
      <c r="H36" s="315">
        <v>29</v>
      </c>
      <c r="I36" s="316" t="s">
        <v>380</v>
      </c>
      <c r="J36" s="317">
        <v>900</v>
      </c>
    </row>
    <row r="37" spans="2:10" s="67" customFormat="1" x14ac:dyDescent="0.2">
      <c r="B37" s="308"/>
      <c r="C37" s="308"/>
      <c r="D37" s="308"/>
      <c r="E37" s="318"/>
      <c r="F37" s="308"/>
      <c r="G37" s="308"/>
      <c r="H37" s="315">
        <v>30</v>
      </c>
      <c r="I37" s="316" t="s">
        <v>381</v>
      </c>
      <c r="J37" s="317">
        <v>600</v>
      </c>
    </row>
    <row r="38" spans="2:10" s="67" customFormat="1" x14ac:dyDescent="0.2">
      <c r="B38" s="308"/>
      <c r="C38" s="308"/>
      <c r="D38" s="308"/>
      <c r="E38" s="318"/>
      <c r="F38" s="308"/>
      <c r="G38" s="308"/>
      <c r="H38" s="315">
        <v>31</v>
      </c>
      <c r="I38" s="316" t="s">
        <v>382</v>
      </c>
      <c r="J38" s="317">
        <v>400</v>
      </c>
    </row>
    <row r="39" spans="2:10" s="67" customFormat="1" x14ac:dyDescent="0.2">
      <c r="B39" s="308"/>
      <c r="C39" s="308"/>
      <c r="D39" s="308"/>
      <c r="E39" s="308"/>
      <c r="F39" s="308"/>
      <c r="G39" s="308"/>
      <c r="H39" s="315">
        <v>32</v>
      </c>
      <c r="I39" s="316" t="s">
        <v>383</v>
      </c>
      <c r="J39" s="317">
        <v>300</v>
      </c>
    </row>
    <row r="40" spans="2:10" s="67" customFormat="1" x14ac:dyDescent="0.2">
      <c r="B40" s="318"/>
      <c r="C40" s="318"/>
      <c r="D40" s="318"/>
      <c r="E40" s="308"/>
      <c r="F40" s="308"/>
      <c r="G40" s="308"/>
      <c r="H40" s="315">
        <v>33</v>
      </c>
      <c r="I40" s="316" t="s">
        <v>331</v>
      </c>
      <c r="J40" s="317">
        <v>200</v>
      </c>
    </row>
    <row r="41" spans="2:10" s="67" customFormat="1" x14ac:dyDescent="0.2">
      <c r="B41" s="318"/>
      <c r="C41" s="318"/>
      <c r="D41" s="318"/>
      <c r="E41" s="308"/>
      <c r="F41" s="318"/>
      <c r="G41" s="318"/>
      <c r="H41" s="315">
        <v>34</v>
      </c>
      <c r="I41" s="316" t="s">
        <v>384</v>
      </c>
      <c r="J41" s="317">
        <v>600</v>
      </c>
    </row>
    <row r="42" spans="2:10" s="67" customFormat="1" x14ac:dyDescent="0.2">
      <c r="B42" s="318"/>
      <c r="C42" s="318"/>
      <c r="D42" s="318"/>
      <c r="E42" s="308"/>
      <c r="F42" s="318"/>
      <c r="G42" s="318"/>
      <c r="H42" s="315">
        <v>35</v>
      </c>
      <c r="I42" s="316" t="s">
        <v>385</v>
      </c>
      <c r="J42" s="317">
        <v>400</v>
      </c>
    </row>
    <row r="43" spans="2:10" s="67" customFormat="1" x14ac:dyDescent="0.2">
      <c r="B43" s="318"/>
      <c r="C43" s="318"/>
      <c r="D43" s="318"/>
      <c r="E43" s="308"/>
      <c r="F43" s="318"/>
      <c r="G43" s="318"/>
      <c r="H43" s="315">
        <v>36</v>
      </c>
      <c r="I43" s="316" t="s">
        <v>386</v>
      </c>
      <c r="J43" s="317">
        <v>500</v>
      </c>
    </row>
    <row r="44" spans="2:10" s="67" customFormat="1" ht="16.5" thickBot="1" x14ac:dyDescent="0.25">
      <c r="B44" s="318"/>
      <c r="C44" s="318"/>
      <c r="D44" s="318"/>
      <c r="E44" s="308"/>
      <c r="F44" s="318"/>
      <c r="G44" s="318"/>
      <c r="H44" s="338"/>
      <c r="I44" s="339" t="s">
        <v>10</v>
      </c>
      <c r="J44" s="322">
        <v>20000</v>
      </c>
    </row>
    <row r="45" spans="2:10" x14ac:dyDescent="0.2">
      <c r="B45" s="318"/>
      <c r="C45" s="318"/>
      <c r="D45" s="318"/>
      <c r="E45" s="308"/>
      <c r="F45" s="318"/>
      <c r="G45" s="318"/>
      <c r="H45" s="318"/>
      <c r="I45" s="318"/>
      <c r="J45" s="318"/>
    </row>
    <row r="46" spans="2:10" x14ac:dyDescent="0.2">
      <c r="B46" s="318"/>
      <c r="C46" s="318"/>
      <c r="D46" s="318"/>
      <c r="E46" s="308"/>
      <c r="F46" s="318"/>
      <c r="G46" s="318"/>
      <c r="H46" s="318"/>
      <c r="I46" s="318"/>
      <c r="J46" s="318"/>
    </row>
    <row r="47" spans="2:10" x14ac:dyDescent="0.2">
      <c r="B47" s="318"/>
      <c r="C47" s="318"/>
      <c r="D47" s="318"/>
      <c r="E47" s="308"/>
      <c r="F47" s="318"/>
      <c r="G47" s="318"/>
      <c r="H47" s="318"/>
      <c r="I47" s="318"/>
      <c r="J47" s="318"/>
    </row>
    <row r="48" spans="2:10" x14ac:dyDescent="0.2">
      <c r="D48" s="318"/>
      <c r="E48" s="308"/>
      <c r="F48" s="318"/>
      <c r="G48" s="318"/>
      <c r="H48" s="318"/>
      <c r="I48" s="318"/>
      <c r="J48" s="318"/>
    </row>
    <row r="49" spans="1:10" x14ac:dyDescent="0.2">
      <c r="D49" s="318"/>
      <c r="E49" s="308"/>
    </row>
    <row r="50" spans="1:10" x14ac:dyDescent="0.2">
      <c r="D50" s="318"/>
      <c r="E50" s="308"/>
    </row>
    <row r="51" spans="1:10" x14ac:dyDescent="0.2">
      <c r="D51" s="318"/>
      <c r="E51" s="308"/>
    </row>
    <row r="52" spans="1:10" customFormat="1" ht="14.25" customHeight="1" x14ac:dyDescent="0.25">
      <c r="A52" s="1"/>
      <c r="B52" s="1"/>
      <c r="C52" s="1"/>
      <c r="D52" s="318"/>
      <c r="E52" s="308"/>
      <c r="F52" s="1"/>
      <c r="G52" s="1"/>
      <c r="H52" s="1"/>
      <c r="I52" s="1"/>
      <c r="J52" s="1"/>
    </row>
    <row r="53" spans="1:10" x14ac:dyDescent="0.2">
      <c r="D53" s="318"/>
      <c r="E53" s="308"/>
    </row>
    <row r="54" spans="1:10" customFormat="1" ht="14.25" customHeight="1" x14ac:dyDescent="0.25">
      <c r="A54" s="1"/>
      <c r="B54" s="1"/>
      <c r="C54" s="1"/>
      <c r="D54" s="318"/>
      <c r="E54" s="308"/>
      <c r="F54" s="1"/>
      <c r="G54" s="1"/>
      <c r="H54" s="1"/>
      <c r="I54" s="1"/>
      <c r="J54" s="1"/>
    </row>
    <row r="62" spans="1:10" x14ac:dyDescent="0.2">
      <c r="D62" s="308"/>
      <c r="E62" s="337"/>
    </row>
    <row r="64" spans="1:10" x14ac:dyDescent="0.2">
      <c r="D64" s="340"/>
      <c r="E64" s="308"/>
    </row>
  </sheetData>
  <mergeCells count="3">
    <mergeCell ref="B3:E3"/>
    <mergeCell ref="B5:C5"/>
    <mergeCell ref="C18:D18"/>
  </mergeCells>
  <pageMargins left="0.511811023622047" right="0.43307086614173207" top="0.59055118110236204" bottom="0.59055118110236204" header="0.511811023622047" footer="0.511811023622047"/>
  <pageSetup paperSize="9" scale="90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/>
  </sheetViews>
  <sheetFormatPr defaultRowHeight="15" x14ac:dyDescent="0.25"/>
  <cols>
    <col min="1" max="1" width="6.5703125" customWidth="1"/>
    <col min="2" max="2" width="43.140625" customWidth="1"/>
    <col min="3" max="3" width="50.7109375" customWidth="1"/>
    <col min="4" max="4" width="9.140625" style="342" customWidth="1"/>
    <col min="5" max="5" width="19.140625" customWidth="1"/>
    <col min="6" max="6" width="9.140625" customWidth="1"/>
  </cols>
  <sheetData>
    <row r="1" spans="1:18" x14ac:dyDescent="0.25">
      <c r="D1" s="341" t="s">
        <v>387</v>
      </c>
    </row>
    <row r="2" spans="1:18" ht="18.75" x14ac:dyDescent="0.3">
      <c r="A2" s="691" t="s">
        <v>388</v>
      </c>
      <c r="B2" s="691"/>
      <c r="C2" s="691"/>
      <c r="D2" s="691"/>
    </row>
    <row r="3" spans="1:18" ht="15.75" thickBot="1" x14ac:dyDescent="0.3"/>
    <row r="4" spans="1:18" ht="27" customHeight="1" x14ac:dyDescent="0.25">
      <c r="A4" s="343" t="s">
        <v>222</v>
      </c>
      <c r="B4" s="344" t="s">
        <v>389</v>
      </c>
      <c r="C4" s="344" t="s">
        <v>336</v>
      </c>
      <c r="D4" s="345" t="s">
        <v>297</v>
      </c>
      <c r="E4" s="346"/>
      <c r="F4" s="347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</row>
    <row r="5" spans="1:18" x14ac:dyDescent="0.25">
      <c r="A5" s="348">
        <v>1</v>
      </c>
      <c r="B5" s="349" t="s">
        <v>390</v>
      </c>
      <c r="C5" s="349" t="s">
        <v>391</v>
      </c>
      <c r="D5" s="350">
        <v>500</v>
      </c>
      <c r="E5" s="351"/>
    </row>
    <row r="6" spans="1:18" x14ac:dyDescent="0.25">
      <c r="A6" s="348">
        <v>2</v>
      </c>
      <c r="B6" s="349" t="s">
        <v>392</v>
      </c>
      <c r="C6" s="349" t="s">
        <v>393</v>
      </c>
      <c r="D6" s="350">
        <v>500</v>
      </c>
      <c r="E6" s="351"/>
    </row>
    <row r="7" spans="1:18" x14ac:dyDescent="0.25">
      <c r="A7" s="348">
        <v>3</v>
      </c>
      <c r="B7" s="349" t="s">
        <v>394</v>
      </c>
      <c r="C7" s="349" t="s">
        <v>395</v>
      </c>
      <c r="D7" s="350">
        <v>1000</v>
      </c>
      <c r="E7" s="351"/>
    </row>
    <row r="8" spans="1:18" ht="25.5" x14ac:dyDescent="0.25">
      <c r="A8" s="348">
        <v>4</v>
      </c>
      <c r="B8" s="349" t="s">
        <v>396</v>
      </c>
      <c r="C8" s="352" t="s">
        <v>397</v>
      </c>
      <c r="D8" s="350">
        <v>420</v>
      </c>
      <c r="E8" s="351"/>
    </row>
    <row r="9" spans="1:18" x14ac:dyDescent="0.25">
      <c r="A9" s="348">
        <v>5</v>
      </c>
      <c r="B9" s="349" t="s">
        <v>398</v>
      </c>
      <c r="C9" s="352" t="s">
        <v>399</v>
      </c>
      <c r="D9" s="350">
        <v>1000</v>
      </c>
      <c r="E9" s="351"/>
    </row>
    <row r="10" spans="1:18" x14ac:dyDescent="0.25">
      <c r="A10" s="348">
        <v>6</v>
      </c>
      <c r="B10" s="352" t="s">
        <v>400</v>
      </c>
      <c r="C10" s="352" t="s">
        <v>401</v>
      </c>
      <c r="D10" s="350">
        <v>3450</v>
      </c>
      <c r="E10" s="351"/>
    </row>
    <row r="11" spans="1:18" x14ac:dyDescent="0.25">
      <c r="A11" s="348">
        <v>7</v>
      </c>
      <c r="B11" s="352" t="s">
        <v>402</v>
      </c>
      <c r="C11" s="352" t="s">
        <v>403</v>
      </c>
      <c r="D11" s="350">
        <v>1000</v>
      </c>
      <c r="E11" s="351"/>
    </row>
    <row r="12" spans="1:18" x14ac:dyDescent="0.25">
      <c r="A12" s="348">
        <v>8</v>
      </c>
      <c r="B12" s="349" t="s">
        <v>404</v>
      </c>
      <c r="C12" s="352" t="s">
        <v>405</v>
      </c>
      <c r="D12" s="350">
        <v>800</v>
      </c>
      <c r="E12" s="351"/>
    </row>
    <row r="13" spans="1:18" ht="25.5" x14ac:dyDescent="0.25">
      <c r="A13" s="348">
        <v>9</v>
      </c>
      <c r="B13" s="352" t="s">
        <v>406</v>
      </c>
      <c r="C13" s="352" t="s">
        <v>407</v>
      </c>
      <c r="D13" s="350">
        <v>1000</v>
      </c>
      <c r="E13" s="351"/>
    </row>
    <row r="14" spans="1:18" x14ac:dyDescent="0.25">
      <c r="A14" s="348">
        <v>10</v>
      </c>
      <c r="B14" s="349" t="s">
        <v>408</v>
      </c>
      <c r="C14" s="352" t="s">
        <v>409</v>
      </c>
      <c r="D14" s="350">
        <v>500</v>
      </c>
      <c r="E14" s="351"/>
    </row>
    <row r="15" spans="1:18" ht="12.75" customHeight="1" x14ac:dyDescent="0.25">
      <c r="A15" s="348">
        <v>11</v>
      </c>
      <c r="B15" s="349" t="s">
        <v>410</v>
      </c>
      <c r="C15" s="352" t="s">
        <v>411</v>
      </c>
      <c r="D15" s="350">
        <v>1000</v>
      </c>
      <c r="E15" s="351"/>
    </row>
    <row r="16" spans="1:18" x14ac:dyDescent="0.25">
      <c r="A16" s="348">
        <v>12</v>
      </c>
      <c r="B16" s="349" t="s">
        <v>412</v>
      </c>
      <c r="C16" s="352" t="s">
        <v>413</v>
      </c>
      <c r="D16" s="350">
        <v>500</v>
      </c>
      <c r="E16" s="351"/>
    </row>
    <row r="17" spans="1:5" x14ac:dyDescent="0.25">
      <c r="A17" s="348">
        <v>13</v>
      </c>
      <c r="B17" s="349" t="s">
        <v>412</v>
      </c>
      <c r="C17" s="352" t="s">
        <v>414</v>
      </c>
      <c r="D17" s="350">
        <v>300</v>
      </c>
      <c r="E17" s="351"/>
    </row>
    <row r="18" spans="1:5" x14ac:dyDescent="0.25">
      <c r="A18" s="348">
        <v>14</v>
      </c>
      <c r="B18" s="349" t="s">
        <v>415</v>
      </c>
      <c r="C18" s="352" t="s">
        <v>416</v>
      </c>
      <c r="D18" s="350">
        <v>1350</v>
      </c>
      <c r="E18" s="351"/>
    </row>
    <row r="19" spans="1:5" x14ac:dyDescent="0.25">
      <c r="A19" s="348">
        <v>15</v>
      </c>
      <c r="B19" s="349" t="s">
        <v>417</v>
      </c>
      <c r="C19" s="349" t="s">
        <v>418</v>
      </c>
      <c r="D19" s="350">
        <v>3000</v>
      </c>
      <c r="E19" s="351"/>
    </row>
    <row r="20" spans="1:5" x14ac:dyDescent="0.25">
      <c r="A20" s="348">
        <v>16</v>
      </c>
      <c r="B20" s="349" t="s">
        <v>419</v>
      </c>
      <c r="C20" s="349" t="s">
        <v>420</v>
      </c>
      <c r="D20" s="350">
        <v>1300</v>
      </c>
      <c r="E20" s="351"/>
    </row>
    <row r="21" spans="1:5" x14ac:dyDescent="0.25">
      <c r="A21" s="348">
        <v>17</v>
      </c>
      <c r="B21" s="349" t="s">
        <v>421</v>
      </c>
      <c r="C21" s="349" t="s">
        <v>422</v>
      </c>
      <c r="D21" s="350">
        <v>500</v>
      </c>
      <c r="E21" s="351"/>
    </row>
    <row r="22" spans="1:5" x14ac:dyDescent="0.25">
      <c r="A22" s="348">
        <v>18</v>
      </c>
      <c r="B22" s="349" t="s">
        <v>421</v>
      </c>
      <c r="C22" s="349" t="s">
        <v>423</v>
      </c>
      <c r="D22" s="350">
        <v>300</v>
      </c>
      <c r="E22" s="351"/>
    </row>
    <row r="23" spans="1:5" x14ac:dyDescent="0.25">
      <c r="A23" s="348">
        <v>19</v>
      </c>
      <c r="B23" s="349" t="s">
        <v>424</v>
      </c>
      <c r="C23" s="349" t="s">
        <v>425</v>
      </c>
      <c r="D23" s="350">
        <v>1000</v>
      </c>
      <c r="E23" s="351"/>
    </row>
    <row r="24" spans="1:5" x14ac:dyDescent="0.25">
      <c r="A24" s="348">
        <v>20</v>
      </c>
      <c r="B24" s="349" t="s">
        <v>359</v>
      </c>
      <c r="C24" s="352" t="s">
        <v>426</v>
      </c>
      <c r="D24" s="350">
        <v>400</v>
      </c>
      <c r="E24" s="351"/>
    </row>
    <row r="25" spans="1:5" x14ac:dyDescent="0.25">
      <c r="A25" s="348">
        <v>21</v>
      </c>
      <c r="B25" s="349" t="s">
        <v>359</v>
      </c>
      <c r="C25" s="349" t="s">
        <v>427</v>
      </c>
      <c r="D25" s="350">
        <v>300</v>
      </c>
      <c r="E25" s="351"/>
    </row>
    <row r="26" spans="1:5" ht="25.5" x14ac:dyDescent="0.25">
      <c r="A26" s="348">
        <v>22</v>
      </c>
      <c r="B26" s="349" t="s">
        <v>428</v>
      </c>
      <c r="C26" s="349" t="s">
        <v>429</v>
      </c>
      <c r="D26" s="350">
        <v>500</v>
      </c>
      <c r="E26" s="351"/>
    </row>
    <row r="27" spans="1:5" x14ac:dyDescent="0.25">
      <c r="A27" s="348">
        <v>23</v>
      </c>
      <c r="B27" s="215" t="s">
        <v>430</v>
      </c>
      <c r="C27" s="349" t="s">
        <v>431</v>
      </c>
      <c r="D27" s="350">
        <v>500</v>
      </c>
      <c r="E27" s="351"/>
    </row>
    <row r="28" spans="1:5" ht="25.5" x14ac:dyDescent="0.25">
      <c r="A28" s="348">
        <v>24</v>
      </c>
      <c r="B28" s="349" t="s">
        <v>432</v>
      </c>
      <c r="C28" s="349" t="s">
        <v>433</v>
      </c>
      <c r="D28" s="350">
        <v>500</v>
      </c>
      <c r="E28" s="351"/>
    </row>
    <row r="29" spans="1:5" x14ac:dyDescent="0.25">
      <c r="A29" s="348">
        <v>25</v>
      </c>
      <c r="B29" s="349" t="s">
        <v>434</v>
      </c>
      <c r="C29" s="349" t="s">
        <v>435</v>
      </c>
      <c r="D29" s="350">
        <v>500</v>
      </c>
      <c r="E29" s="351"/>
    </row>
    <row r="30" spans="1:5" ht="25.5" x14ac:dyDescent="0.25">
      <c r="A30" s="348">
        <v>26</v>
      </c>
      <c r="B30" s="349" t="s">
        <v>436</v>
      </c>
      <c r="C30" s="349" t="s">
        <v>437</v>
      </c>
      <c r="D30" s="350">
        <v>1000</v>
      </c>
      <c r="E30" s="351"/>
    </row>
    <row r="31" spans="1:5" x14ac:dyDescent="0.25">
      <c r="A31" s="348">
        <v>27</v>
      </c>
      <c r="B31" s="349" t="s">
        <v>438</v>
      </c>
      <c r="C31" s="349" t="s">
        <v>439</v>
      </c>
      <c r="D31" s="350">
        <v>2500</v>
      </c>
      <c r="E31" s="351"/>
    </row>
    <row r="32" spans="1:5" x14ac:dyDescent="0.25">
      <c r="A32" s="348">
        <v>28</v>
      </c>
      <c r="B32" s="349" t="s">
        <v>440</v>
      </c>
      <c r="C32" s="349" t="s">
        <v>441</v>
      </c>
      <c r="D32" s="350">
        <v>213.93</v>
      </c>
      <c r="E32" s="353"/>
    </row>
    <row r="33" spans="1:5" x14ac:dyDescent="0.25">
      <c r="A33" s="348">
        <v>29</v>
      </c>
      <c r="B33" s="349" t="s">
        <v>442</v>
      </c>
      <c r="C33" s="349" t="s">
        <v>443</v>
      </c>
      <c r="D33" s="350">
        <v>1000</v>
      </c>
      <c r="E33" s="351"/>
    </row>
    <row r="34" spans="1:5" x14ac:dyDescent="0.25">
      <c r="A34" s="348">
        <v>30</v>
      </c>
      <c r="B34" s="349" t="s">
        <v>444</v>
      </c>
      <c r="C34" s="349" t="s">
        <v>445</v>
      </c>
      <c r="D34" s="350">
        <v>300</v>
      </c>
      <c r="E34" s="351"/>
    </row>
    <row r="35" spans="1:5" x14ac:dyDescent="0.25">
      <c r="A35" s="348">
        <v>31</v>
      </c>
      <c r="B35" s="349" t="s">
        <v>446</v>
      </c>
      <c r="C35" s="349" t="s">
        <v>447</v>
      </c>
      <c r="D35" s="350">
        <v>2000</v>
      </c>
      <c r="E35" s="351"/>
    </row>
    <row r="36" spans="1:5" x14ac:dyDescent="0.25">
      <c r="A36" s="348">
        <v>32</v>
      </c>
      <c r="B36" s="349" t="s">
        <v>448</v>
      </c>
      <c r="C36" s="349" t="s">
        <v>449</v>
      </c>
      <c r="D36" s="350">
        <v>500</v>
      </c>
      <c r="E36" s="351"/>
    </row>
    <row r="37" spans="1:5" x14ac:dyDescent="0.25">
      <c r="A37" s="348">
        <v>33</v>
      </c>
      <c r="B37" s="349" t="s">
        <v>448</v>
      </c>
      <c r="C37" s="349" t="s">
        <v>450</v>
      </c>
      <c r="D37" s="350">
        <v>500</v>
      </c>
      <c r="E37" s="351"/>
    </row>
    <row r="38" spans="1:5" x14ac:dyDescent="0.25">
      <c r="A38" s="348">
        <v>34</v>
      </c>
      <c r="B38" s="349" t="s">
        <v>448</v>
      </c>
      <c r="C38" s="349" t="s">
        <v>451</v>
      </c>
      <c r="D38" s="350">
        <v>300</v>
      </c>
      <c r="E38" s="351"/>
    </row>
    <row r="39" spans="1:5" x14ac:dyDescent="0.25">
      <c r="A39" s="348">
        <v>35</v>
      </c>
      <c r="B39" s="349" t="s">
        <v>452</v>
      </c>
      <c r="C39" s="349" t="s">
        <v>453</v>
      </c>
      <c r="D39" s="350">
        <v>500</v>
      </c>
      <c r="E39" s="351"/>
    </row>
    <row r="40" spans="1:5" x14ac:dyDescent="0.25">
      <c r="A40" s="348">
        <v>36</v>
      </c>
      <c r="B40" s="349" t="s">
        <v>454</v>
      </c>
      <c r="C40" s="349" t="s">
        <v>455</v>
      </c>
      <c r="D40" s="350">
        <v>1000</v>
      </c>
      <c r="E40" s="351"/>
    </row>
    <row r="41" spans="1:5" x14ac:dyDescent="0.25">
      <c r="A41" s="348">
        <v>37</v>
      </c>
      <c r="B41" s="349" t="s">
        <v>456</v>
      </c>
      <c r="C41" s="349" t="s">
        <v>457</v>
      </c>
      <c r="D41" s="350">
        <v>2000</v>
      </c>
      <c r="E41" s="351"/>
    </row>
    <row r="42" spans="1:5" x14ac:dyDescent="0.25">
      <c r="A42" s="348">
        <v>38</v>
      </c>
      <c r="B42" s="349" t="s">
        <v>458</v>
      </c>
      <c r="C42" s="349" t="s">
        <v>459</v>
      </c>
      <c r="D42" s="350">
        <v>500</v>
      </c>
      <c r="E42" s="351"/>
    </row>
    <row r="43" spans="1:5" x14ac:dyDescent="0.25">
      <c r="A43" s="348">
        <v>39</v>
      </c>
      <c r="B43" s="349" t="s">
        <v>460</v>
      </c>
      <c r="C43" s="349" t="s">
        <v>461</v>
      </c>
      <c r="D43" s="350">
        <v>500</v>
      </c>
      <c r="E43" s="351"/>
    </row>
    <row r="44" spans="1:5" x14ac:dyDescent="0.25">
      <c r="A44" s="348">
        <v>40</v>
      </c>
      <c r="B44" s="349" t="s">
        <v>462</v>
      </c>
      <c r="C44" s="349" t="s">
        <v>463</v>
      </c>
      <c r="D44" s="350">
        <v>2000</v>
      </c>
      <c r="E44" s="351"/>
    </row>
    <row r="45" spans="1:5" ht="25.5" x14ac:dyDescent="0.25">
      <c r="A45" s="348">
        <v>41</v>
      </c>
      <c r="B45" s="349" t="s">
        <v>464</v>
      </c>
      <c r="C45" s="349" t="s">
        <v>465</v>
      </c>
      <c r="D45" s="350">
        <v>1000</v>
      </c>
      <c r="E45" s="351"/>
    </row>
    <row r="46" spans="1:5" x14ac:dyDescent="0.25">
      <c r="A46" s="348">
        <v>42</v>
      </c>
      <c r="B46" s="349" t="s">
        <v>410</v>
      </c>
      <c r="C46" s="349" t="s">
        <v>466</v>
      </c>
      <c r="D46" s="350">
        <v>2800</v>
      </c>
      <c r="E46" s="351"/>
    </row>
    <row r="47" spans="1:5" x14ac:dyDescent="0.25">
      <c r="A47" s="348">
        <v>43</v>
      </c>
      <c r="B47" s="349" t="s">
        <v>467</v>
      </c>
      <c r="C47" s="349" t="s">
        <v>468</v>
      </c>
      <c r="D47" s="350">
        <v>1000</v>
      </c>
      <c r="E47" s="351"/>
    </row>
    <row r="48" spans="1:5" x14ac:dyDescent="0.25">
      <c r="A48" s="348">
        <v>44</v>
      </c>
      <c r="B48" s="349" t="s">
        <v>469</v>
      </c>
      <c r="C48" s="349" t="s">
        <v>470</v>
      </c>
      <c r="D48" s="350">
        <v>2000</v>
      </c>
      <c r="E48" s="351"/>
    </row>
    <row r="49" spans="1:5" x14ac:dyDescent="0.25">
      <c r="A49" s="348">
        <v>45</v>
      </c>
      <c r="B49" s="349" t="s">
        <v>434</v>
      </c>
      <c r="C49" s="349" t="s">
        <v>471</v>
      </c>
      <c r="D49" s="350">
        <v>500</v>
      </c>
      <c r="E49" s="351"/>
    </row>
    <row r="50" spans="1:5" ht="25.5" x14ac:dyDescent="0.25">
      <c r="A50" s="348">
        <v>46</v>
      </c>
      <c r="B50" s="349" t="s">
        <v>472</v>
      </c>
      <c r="C50" s="349" t="s">
        <v>473</v>
      </c>
      <c r="D50" s="350">
        <v>500</v>
      </c>
      <c r="E50" s="351"/>
    </row>
    <row r="51" spans="1:5" x14ac:dyDescent="0.25">
      <c r="A51" s="348">
        <v>47</v>
      </c>
      <c r="B51" s="352" t="s">
        <v>474</v>
      </c>
      <c r="C51" s="349" t="s">
        <v>475</v>
      </c>
      <c r="D51" s="350">
        <v>2800</v>
      </c>
      <c r="E51" s="351"/>
    </row>
    <row r="52" spans="1:5" x14ac:dyDescent="0.25">
      <c r="A52" s="348">
        <v>48</v>
      </c>
      <c r="B52" s="349" t="s">
        <v>430</v>
      </c>
      <c r="C52" s="349" t="s">
        <v>476</v>
      </c>
      <c r="D52" s="350">
        <v>500</v>
      </c>
      <c r="E52" s="351"/>
    </row>
    <row r="53" spans="1:5" x14ac:dyDescent="0.25">
      <c r="A53" s="348">
        <v>49</v>
      </c>
      <c r="B53" s="349" t="s">
        <v>440</v>
      </c>
      <c r="C53" s="349" t="s">
        <v>477</v>
      </c>
      <c r="D53" s="350">
        <v>100</v>
      </c>
      <c r="E53" s="351"/>
    </row>
    <row r="54" spans="1:5" x14ac:dyDescent="0.25">
      <c r="A54" s="348">
        <v>50</v>
      </c>
      <c r="B54" s="349" t="s">
        <v>359</v>
      </c>
      <c r="C54" s="349" t="s">
        <v>478</v>
      </c>
      <c r="D54" s="350">
        <v>200</v>
      </c>
      <c r="E54" s="351"/>
    </row>
    <row r="55" spans="1:5" x14ac:dyDescent="0.25">
      <c r="A55" s="348">
        <v>51</v>
      </c>
      <c r="B55" s="349" t="s">
        <v>359</v>
      </c>
      <c r="C55" s="349" t="s">
        <v>479</v>
      </c>
      <c r="D55" s="350">
        <v>300</v>
      </c>
      <c r="E55" s="351"/>
    </row>
    <row r="56" spans="1:5" x14ac:dyDescent="0.25">
      <c r="A56" s="348">
        <v>52</v>
      </c>
      <c r="B56" s="349" t="s">
        <v>480</v>
      </c>
      <c r="C56" s="349" t="s">
        <v>481</v>
      </c>
      <c r="D56" s="350">
        <v>1000</v>
      </c>
      <c r="E56" s="351"/>
    </row>
    <row r="57" spans="1:5" x14ac:dyDescent="0.25">
      <c r="A57" s="348">
        <v>53</v>
      </c>
      <c r="B57" s="349" t="s">
        <v>448</v>
      </c>
      <c r="C57" s="349" t="s">
        <v>482</v>
      </c>
      <c r="D57" s="350">
        <v>1000</v>
      </c>
      <c r="E57" s="351"/>
    </row>
    <row r="58" spans="1:5" x14ac:dyDescent="0.25">
      <c r="A58" s="348">
        <v>54</v>
      </c>
      <c r="B58" s="349" t="s">
        <v>448</v>
      </c>
      <c r="C58" s="349" t="s">
        <v>483</v>
      </c>
      <c r="D58" s="350">
        <v>1000</v>
      </c>
      <c r="E58" s="351"/>
    </row>
    <row r="59" spans="1:5" x14ac:dyDescent="0.25">
      <c r="A59" s="348">
        <v>55</v>
      </c>
      <c r="B59" s="349" t="s">
        <v>484</v>
      </c>
      <c r="C59" s="349" t="s">
        <v>485</v>
      </c>
      <c r="D59" s="350">
        <v>300</v>
      </c>
      <c r="E59" s="351"/>
    </row>
    <row r="60" spans="1:5" ht="25.5" x14ac:dyDescent="0.25">
      <c r="A60" s="348">
        <v>56</v>
      </c>
      <c r="B60" s="349" t="s">
        <v>486</v>
      </c>
      <c r="C60" s="349" t="s">
        <v>487</v>
      </c>
      <c r="D60" s="350">
        <v>1500</v>
      </c>
      <c r="E60" s="351"/>
    </row>
    <row r="61" spans="1:5" ht="25.5" x14ac:dyDescent="0.25">
      <c r="A61" s="348">
        <v>57</v>
      </c>
      <c r="B61" s="349" t="s">
        <v>488</v>
      </c>
      <c r="C61" s="349" t="s">
        <v>489</v>
      </c>
      <c r="D61" s="350">
        <v>2000</v>
      </c>
      <c r="E61" s="351"/>
    </row>
    <row r="62" spans="1:5" x14ac:dyDescent="0.25">
      <c r="A62" s="348">
        <v>58</v>
      </c>
      <c r="B62" s="349" t="s">
        <v>490</v>
      </c>
      <c r="C62" s="349" t="s">
        <v>491</v>
      </c>
      <c r="D62" s="350">
        <v>300</v>
      </c>
      <c r="E62" s="351"/>
    </row>
    <row r="63" spans="1:5" x14ac:dyDescent="0.25">
      <c r="A63" s="348">
        <v>59</v>
      </c>
      <c r="B63" s="349" t="s">
        <v>492</v>
      </c>
      <c r="C63" s="349" t="s">
        <v>493</v>
      </c>
      <c r="D63" s="350">
        <v>500</v>
      </c>
      <c r="E63" s="351"/>
    </row>
    <row r="64" spans="1:5" x14ac:dyDescent="0.25">
      <c r="A64" s="348">
        <v>60</v>
      </c>
      <c r="B64" s="349" t="s">
        <v>494</v>
      </c>
      <c r="C64" s="349" t="s">
        <v>495</v>
      </c>
      <c r="D64" s="350">
        <v>400</v>
      </c>
      <c r="E64" s="351"/>
    </row>
    <row r="65" spans="1:5" x14ac:dyDescent="0.25">
      <c r="A65" s="348">
        <v>61</v>
      </c>
      <c r="B65" s="349" t="s">
        <v>496</v>
      </c>
      <c r="C65" s="349" t="s">
        <v>497</v>
      </c>
      <c r="D65" s="350">
        <v>800</v>
      </c>
      <c r="E65" s="351"/>
    </row>
    <row r="66" spans="1:5" x14ac:dyDescent="0.25">
      <c r="A66" s="348">
        <v>62</v>
      </c>
      <c r="B66" s="349" t="s">
        <v>498</v>
      </c>
      <c r="C66" s="349" t="s">
        <v>499</v>
      </c>
      <c r="D66" s="350">
        <v>1500</v>
      </c>
      <c r="E66" s="351"/>
    </row>
    <row r="67" spans="1:5" x14ac:dyDescent="0.25">
      <c r="A67" s="348">
        <v>63</v>
      </c>
      <c r="B67" s="349" t="s">
        <v>500</v>
      </c>
      <c r="C67" s="349" t="s">
        <v>501</v>
      </c>
      <c r="D67" s="350">
        <v>2000</v>
      </c>
      <c r="E67" s="351"/>
    </row>
    <row r="68" spans="1:5" x14ac:dyDescent="0.25">
      <c r="A68" s="348">
        <v>64</v>
      </c>
      <c r="B68" s="349" t="s">
        <v>502</v>
      </c>
      <c r="C68" s="349" t="s">
        <v>503</v>
      </c>
      <c r="D68" s="350">
        <v>2000</v>
      </c>
      <c r="E68" s="351"/>
    </row>
    <row r="69" spans="1:5" ht="15.75" customHeight="1" x14ac:dyDescent="0.25">
      <c r="A69" s="348">
        <v>65</v>
      </c>
      <c r="B69" s="349" t="s">
        <v>504</v>
      </c>
      <c r="C69" s="349" t="s">
        <v>505</v>
      </c>
      <c r="D69" s="350">
        <v>1000</v>
      </c>
      <c r="E69" s="351"/>
    </row>
    <row r="70" spans="1:5" x14ac:dyDescent="0.25">
      <c r="A70" s="348">
        <v>66</v>
      </c>
      <c r="B70" s="349" t="s">
        <v>506</v>
      </c>
      <c r="C70" s="349" t="s">
        <v>507</v>
      </c>
      <c r="D70" s="350">
        <v>480</v>
      </c>
      <c r="E70" s="351"/>
    </row>
    <row r="71" spans="1:5" ht="25.5" x14ac:dyDescent="0.25">
      <c r="A71" s="348">
        <v>67</v>
      </c>
      <c r="B71" s="354" t="s">
        <v>508</v>
      </c>
      <c r="C71" s="349" t="s">
        <v>509</v>
      </c>
      <c r="D71" s="350">
        <v>1000</v>
      </c>
      <c r="E71" s="351"/>
    </row>
    <row r="72" spans="1:5" x14ac:dyDescent="0.25">
      <c r="A72" s="348">
        <v>68</v>
      </c>
      <c r="B72" s="349" t="s">
        <v>510</v>
      </c>
      <c r="C72" s="349" t="s">
        <v>511</v>
      </c>
      <c r="D72" s="350">
        <v>1000</v>
      </c>
      <c r="E72" s="351"/>
    </row>
    <row r="73" spans="1:5" x14ac:dyDescent="0.25">
      <c r="A73" s="348">
        <v>69</v>
      </c>
      <c r="B73" s="349" t="s">
        <v>512</v>
      </c>
      <c r="C73" s="349" t="s">
        <v>513</v>
      </c>
      <c r="D73" s="350">
        <v>500</v>
      </c>
      <c r="E73" s="351"/>
    </row>
    <row r="74" spans="1:5" x14ac:dyDescent="0.25">
      <c r="A74" s="348">
        <v>70</v>
      </c>
      <c r="B74" s="349" t="s">
        <v>514</v>
      </c>
      <c r="C74" s="349" t="s">
        <v>515</v>
      </c>
      <c r="D74" s="350">
        <v>1000</v>
      </c>
      <c r="E74" s="351"/>
    </row>
    <row r="75" spans="1:5" ht="18.75" customHeight="1" x14ac:dyDescent="0.25">
      <c r="A75" s="348">
        <v>71</v>
      </c>
      <c r="B75" s="349" t="s">
        <v>516</v>
      </c>
      <c r="C75" s="349" t="s">
        <v>517</v>
      </c>
      <c r="D75" s="350">
        <v>300</v>
      </c>
      <c r="E75" s="351"/>
    </row>
    <row r="76" spans="1:5" x14ac:dyDescent="0.25">
      <c r="A76" s="348">
        <v>72</v>
      </c>
      <c r="B76" s="349" t="s">
        <v>518</v>
      </c>
      <c r="C76" s="349" t="s">
        <v>519</v>
      </c>
      <c r="D76" s="350">
        <v>650</v>
      </c>
      <c r="E76" s="351"/>
    </row>
    <row r="77" spans="1:5" x14ac:dyDescent="0.25">
      <c r="A77" s="348">
        <v>73</v>
      </c>
      <c r="B77" s="349" t="s">
        <v>520</v>
      </c>
      <c r="C77" s="349" t="s">
        <v>521</v>
      </c>
      <c r="D77" s="350">
        <v>350</v>
      </c>
      <c r="E77" s="351"/>
    </row>
    <row r="78" spans="1:5" ht="25.5" x14ac:dyDescent="0.25">
      <c r="A78" s="348">
        <v>74</v>
      </c>
      <c r="B78" s="349" t="s">
        <v>522</v>
      </c>
      <c r="C78" s="349" t="s">
        <v>523</v>
      </c>
      <c r="D78" s="350">
        <v>1000</v>
      </c>
      <c r="E78" s="351"/>
    </row>
    <row r="79" spans="1:5" x14ac:dyDescent="0.25">
      <c r="A79" s="348">
        <v>75</v>
      </c>
      <c r="B79" s="349" t="s">
        <v>524</v>
      </c>
      <c r="C79" s="349" t="s">
        <v>525</v>
      </c>
      <c r="D79" s="350">
        <v>800</v>
      </c>
      <c r="E79" s="351"/>
    </row>
    <row r="80" spans="1:5" ht="15.75" thickBot="1" x14ac:dyDescent="0.3">
      <c r="A80" s="355"/>
      <c r="B80" s="356" t="s">
        <v>10</v>
      </c>
      <c r="C80" s="357"/>
      <c r="D80" s="358">
        <f>SUM(D5:D79)</f>
        <v>71013.929999999993</v>
      </c>
      <c r="E80" s="359"/>
    </row>
    <row r="82" spans="2:2" x14ac:dyDescent="0.25">
      <c r="B82" s="360"/>
    </row>
    <row r="83" spans="2:2" x14ac:dyDescent="0.25">
      <c r="B83" s="361"/>
    </row>
    <row r="84" spans="2:2" x14ac:dyDescent="0.25">
      <c r="B84" s="361"/>
    </row>
  </sheetData>
  <mergeCells count="2">
    <mergeCell ref="A2:D2"/>
    <mergeCell ref="G4:R4"/>
  </mergeCells>
  <pageMargins left="0.31496062992126012" right="0.19685039370078702" top="0.27559055118110204" bottom="0.47244094488189015" header="0.15748031496063003" footer="0.31496062992126012"/>
  <pageSetup paperSize="9" scale="9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/>
  </sheetViews>
  <sheetFormatPr defaultRowHeight="14.25" x14ac:dyDescent="0.2"/>
  <cols>
    <col min="1" max="1" width="9.140625" style="1" customWidth="1"/>
    <col min="2" max="2" width="6.28515625" style="1" customWidth="1"/>
    <col min="3" max="3" width="38.7109375" style="1" customWidth="1"/>
    <col min="4" max="4" width="42.140625" style="1" customWidth="1"/>
    <col min="5" max="5" width="10.7109375" style="51" customWidth="1"/>
    <col min="6" max="6" width="9.42578125" style="1" bestFit="1" customWidth="1"/>
    <col min="7" max="7" width="9.140625" style="1" customWidth="1"/>
    <col min="8" max="16384" width="9.140625" style="1"/>
  </cols>
  <sheetData>
    <row r="1" spans="2:5" customFormat="1" ht="15" x14ac:dyDescent="0.25">
      <c r="B1" s="1"/>
      <c r="C1" s="1"/>
      <c r="D1" s="1"/>
      <c r="E1" s="51"/>
    </row>
    <row r="2" spans="2:5" customFormat="1" ht="15" x14ac:dyDescent="0.25">
      <c r="B2" s="1"/>
      <c r="C2" s="1"/>
      <c r="D2" s="1"/>
      <c r="E2" s="288" t="s">
        <v>526</v>
      </c>
    </row>
    <row r="3" spans="2:5" customFormat="1" ht="15" x14ac:dyDescent="0.25">
      <c r="B3" s="362"/>
      <c r="C3" s="1"/>
      <c r="D3" s="1"/>
      <c r="E3" s="51"/>
    </row>
    <row r="4" spans="2:5" customFormat="1" ht="19.5" x14ac:dyDescent="0.3">
      <c r="B4" s="692" t="s">
        <v>527</v>
      </c>
      <c r="C4" s="692"/>
      <c r="D4" s="692"/>
      <c r="E4" s="692"/>
    </row>
    <row r="5" spans="2:5" customFormat="1" ht="15.75" thickBot="1" x14ac:dyDescent="0.3">
      <c r="B5" s="1"/>
      <c r="C5" s="1"/>
      <c r="D5" s="1"/>
      <c r="E5" s="363"/>
    </row>
    <row r="6" spans="2:5" s="67" customFormat="1" ht="35.25" customHeight="1" x14ac:dyDescent="0.25">
      <c r="B6" s="364" t="s">
        <v>222</v>
      </c>
      <c r="C6" s="3" t="s">
        <v>335</v>
      </c>
      <c r="D6" s="3" t="s">
        <v>336</v>
      </c>
      <c r="E6" s="365" t="s">
        <v>297</v>
      </c>
    </row>
    <row r="7" spans="2:5" s="67" customFormat="1" ht="33.75" customHeight="1" x14ac:dyDescent="0.25">
      <c r="B7" s="276">
        <v>1</v>
      </c>
      <c r="C7" s="366" t="s">
        <v>528</v>
      </c>
      <c r="D7" s="352" t="s">
        <v>529</v>
      </c>
      <c r="E7" s="367">
        <v>800</v>
      </c>
    </row>
    <row r="8" spans="2:5" s="67" customFormat="1" ht="18" customHeight="1" x14ac:dyDescent="0.25">
      <c r="B8" s="276">
        <v>2</v>
      </c>
      <c r="C8" s="366" t="s">
        <v>530</v>
      </c>
      <c r="D8" s="352" t="s">
        <v>531</v>
      </c>
      <c r="E8" s="367">
        <v>900</v>
      </c>
    </row>
    <row r="9" spans="2:5" s="67" customFormat="1" ht="33" customHeight="1" x14ac:dyDescent="0.25">
      <c r="B9" s="276">
        <v>3</v>
      </c>
      <c r="C9" s="368" t="s">
        <v>532</v>
      </c>
      <c r="D9" s="352" t="s">
        <v>533</v>
      </c>
      <c r="E9" s="367">
        <v>2100</v>
      </c>
    </row>
    <row r="10" spans="2:5" s="67" customFormat="1" ht="15" customHeight="1" x14ac:dyDescent="0.25">
      <c r="B10" s="276">
        <v>4</v>
      </c>
      <c r="C10" s="366" t="s">
        <v>534</v>
      </c>
      <c r="D10" s="352" t="s">
        <v>535</v>
      </c>
      <c r="E10" s="367">
        <v>800</v>
      </c>
    </row>
    <row r="11" spans="2:5" s="67" customFormat="1" ht="19.149999999999999" customHeight="1" x14ac:dyDescent="0.25">
      <c r="B11" s="276">
        <v>5</v>
      </c>
      <c r="C11" s="366" t="s">
        <v>536</v>
      </c>
      <c r="D11" s="352" t="s">
        <v>537</v>
      </c>
      <c r="E11" s="367">
        <v>1000</v>
      </c>
    </row>
    <row r="12" spans="2:5" customFormat="1" ht="32.25" customHeight="1" x14ac:dyDescent="0.25">
      <c r="B12" s="276">
        <v>6</v>
      </c>
      <c r="C12" s="366" t="s">
        <v>538</v>
      </c>
      <c r="D12" s="352" t="s">
        <v>539</v>
      </c>
      <c r="E12" s="367">
        <v>1500</v>
      </c>
    </row>
    <row r="13" spans="2:5" customFormat="1" ht="27.75" customHeight="1" x14ac:dyDescent="0.25">
      <c r="B13" s="276">
        <v>7</v>
      </c>
      <c r="C13" s="368" t="s">
        <v>540</v>
      </c>
      <c r="D13" s="352" t="s">
        <v>541</v>
      </c>
      <c r="E13" s="367">
        <v>1000</v>
      </c>
    </row>
    <row r="14" spans="2:5" customFormat="1" ht="30.75" customHeight="1" x14ac:dyDescent="0.25">
      <c r="B14" s="276">
        <v>8</v>
      </c>
      <c r="C14" s="366" t="s">
        <v>542</v>
      </c>
      <c r="D14" s="352" t="s">
        <v>543</v>
      </c>
      <c r="E14" s="367">
        <v>1800</v>
      </c>
    </row>
    <row r="15" spans="2:5" customFormat="1" ht="30" customHeight="1" x14ac:dyDescent="0.25">
      <c r="B15" s="276">
        <v>9</v>
      </c>
      <c r="C15" s="368" t="s">
        <v>544</v>
      </c>
      <c r="D15" s="352" t="s">
        <v>545</v>
      </c>
      <c r="E15" s="367">
        <v>1000</v>
      </c>
    </row>
    <row r="16" spans="2:5" customFormat="1" ht="29.25" customHeight="1" x14ac:dyDescent="0.25">
      <c r="B16" s="276">
        <v>10</v>
      </c>
      <c r="C16" s="366" t="s">
        <v>546</v>
      </c>
      <c r="D16" s="352" t="s">
        <v>547</v>
      </c>
      <c r="E16" s="367">
        <v>800</v>
      </c>
    </row>
    <row r="17" spans="2:5" customFormat="1" ht="19.149999999999999" customHeight="1" x14ac:dyDescent="0.25">
      <c r="B17" s="276">
        <v>11</v>
      </c>
      <c r="C17" s="366" t="s">
        <v>548</v>
      </c>
      <c r="D17" s="352" t="s">
        <v>549</v>
      </c>
      <c r="E17" s="367">
        <v>1000</v>
      </c>
    </row>
    <row r="18" spans="2:5" customFormat="1" ht="19.149999999999999" customHeight="1" x14ac:dyDescent="0.25">
      <c r="B18" s="276">
        <v>12</v>
      </c>
      <c r="C18" s="366" t="s">
        <v>550</v>
      </c>
      <c r="D18" s="352" t="s">
        <v>551</v>
      </c>
      <c r="E18" s="367">
        <v>490</v>
      </c>
    </row>
    <row r="19" spans="2:5" customFormat="1" ht="19.149999999999999" customHeight="1" x14ac:dyDescent="0.25">
      <c r="B19" s="276">
        <v>13</v>
      </c>
      <c r="C19" s="366" t="s">
        <v>552</v>
      </c>
      <c r="D19" s="352" t="s">
        <v>553</v>
      </c>
      <c r="E19" s="367">
        <v>1000</v>
      </c>
    </row>
    <row r="20" spans="2:5" customFormat="1" ht="15.75" customHeight="1" x14ac:dyDescent="0.25">
      <c r="B20" s="276">
        <v>14</v>
      </c>
      <c r="C20" s="366" t="s">
        <v>554</v>
      </c>
      <c r="D20" s="352" t="s">
        <v>555</v>
      </c>
      <c r="E20" s="367">
        <v>1000</v>
      </c>
    </row>
    <row r="21" spans="2:5" customFormat="1" ht="28.5" customHeight="1" x14ac:dyDescent="0.25">
      <c r="B21" s="276">
        <v>15</v>
      </c>
      <c r="C21" s="366" t="s">
        <v>556</v>
      </c>
      <c r="D21" s="352" t="s">
        <v>557</v>
      </c>
      <c r="E21" s="367">
        <v>320</v>
      </c>
    </row>
    <row r="22" spans="2:5" s="67" customFormat="1" ht="24.75" customHeight="1" thickBot="1" x14ac:dyDescent="0.3">
      <c r="B22" s="369"/>
      <c r="C22" s="693" t="s">
        <v>10</v>
      </c>
      <c r="D22" s="693"/>
      <c r="E22" s="370">
        <f>SUM(E7:E21)</f>
        <v>15510</v>
      </c>
    </row>
  </sheetData>
  <mergeCells count="2">
    <mergeCell ref="B4:E4"/>
    <mergeCell ref="C22:D22"/>
  </mergeCells>
  <pageMargins left="0.39370078740157505" right="0.15748031496063003" top="1.023622047244094" bottom="0.98425196850393704" header="0.27559055118110198" footer="0.511811023622047"/>
  <pageSetup paperSize="9" scale="9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4" width="35" style="1" customWidth="1"/>
    <col min="5" max="5" width="11.7109375" style="289" customWidth="1"/>
    <col min="6" max="6" width="9.140625" style="1" customWidth="1"/>
    <col min="7" max="16384" width="9.140625" style="1"/>
  </cols>
  <sheetData>
    <row r="1" spans="2:7" customFormat="1" ht="15" x14ac:dyDescent="0.25">
      <c r="B1" s="371"/>
      <c r="C1" s="371"/>
      <c r="D1" s="371"/>
      <c r="E1" s="372"/>
      <c r="F1" s="371"/>
      <c r="G1" s="371"/>
    </row>
    <row r="2" spans="2:7" customFormat="1" ht="15" x14ac:dyDescent="0.25">
      <c r="B2" s="371"/>
      <c r="C2" s="371"/>
      <c r="D2" s="371"/>
      <c r="E2" s="372"/>
      <c r="F2" s="371"/>
      <c r="G2" s="371"/>
    </row>
    <row r="3" spans="2:7" customFormat="1" ht="15" x14ac:dyDescent="0.25">
      <c r="B3" s="371"/>
      <c r="C3" s="371"/>
      <c r="D3" s="371"/>
      <c r="E3" s="373" t="s">
        <v>558</v>
      </c>
      <c r="F3" s="371"/>
      <c r="G3" s="371"/>
    </row>
    <row r="4" spans="2:7" customFormat="1" ht="15" x14ac:dyDescent="0.25">
      <c r="B4" s="371"/>
      <c r="C4" s="371"/>
      <c r="D4" s="371"/>
      <c r="E4" s="372"/>
      <c r="F4" s="371"/>
      <c r="G4" s="371"/>
    </row>
    <row r="5" spans="2:7" customFormat="1" ht="19.5" x14ac:dyDescent="0.25">
      <c r="B5" s="694" t="s">
        <v>559</v>
      </c>
      <c r="C5" s="694"/>
      <c r="D5" s="694"/>
      <c r="E5" s="694"/>
      <c r="F5" s="371"/>
      <c r="G5" s="371"/>
    </row>
    <row r="6" spans="2:7" customFormat="1" ht="15.75" thickBot="1" x14ac:dyDescent="0.3">
      <c r="B6" s="374"/>
      <c r="C6" s="371"/>
      <c r="D6" s="371"/>
      <c r="E6" s="375"/>
      <c r="F6" s="371"/>
      <c r="G6" s="371"/>
    </row>
    <row r="7" spans="2:7" customFormat="1" ht="30" x14ac:dyDescent="0.25">
      <c r="B7" s="376" t="s">
        <v>222</v>
      </c>
      <c r="C7" s="377" t="s">
        <v>560</v>
      </c>
      <c r="D7" s="378" t="s">
        <v>336</v>
      </c>
      <c r="E7" s="379" t="s">
        <v>297</v>
      </c>
      <c r="F7" s="371"/>
      <c r="G7" s="380"/>
    </row>
    <row r="8" spans="2:7" s="67" customFormat="1" ht="25.5" x14ac:dyDescent="0.25">
      <c r="B8" s="381">
        <v>1</v>
      </c>
      <c r="C8" s="382" t="s">
        <v>561</v>
      </c>
      <c r="D8" s="383" t="s">
        <v>562</v>
      </c>
      <c r="E8" s="384">
        <v>560</v>
      </c>
      <c r="F8" s="385"/>
      <c r="G8" s="385"/>
    </row>
    <row r="9" spans="2:7" s="67" customFormat="1" ht="25.5" x14ac:dyDescent="0.25">
      <c r="B9" s="381">
        <v>2</v>
      </c>
      <c r="C9" s="386" t="s">
        <v>563</v>
      </c>
      <c r="D9" s="387" t="s">
        <v>564</v>
      </c>
      <c r="E9" s="388">
        <v>800</v>
      </c>
      <c r="F9" s="385"/>
      <c r="G9" s="385"/>
    </row>
    <row r="10" spans="2:7" s="67" customFormat="1" ht="37.5" customHeight="1" x14ac:dyDescent="0.25">
      <c r="B10" s="381">
        <v>3</v>
      </c>
      <c r="C10" s="386" t="s">
        <v>565</v>
      </c>
      <c r="D10" s="389" t="s">
        <v>566</v>
      </c>
      <c r="E10" s="390">
        <v>520</v>
      </c>
      <c r="F10" s="385"/>
      <c r="G10" s="385"/>
    </row>
    <row r="11" spans="2:7" s="67" customFormat="1" x14ac:dyDescent="0.25">
      <c r="B11" s="381">
        <v>4</v>
      </c>
      <c r="C11" s="386" t="s">
        <v>567</v>
      </c>
      <c r="D11" s="387" t="s">
        <v>568</v>
      </c>
      <c r="E11" s="390">
        <v>551</v>
      </c>
      <c r="F11" s="385"/>
      <c r="G11" s="385"/>
    </row>
    <row r="12" spans="2:7" s="67" customFormat="1" ht="42" customHeight="1" x14ac:dyDescent="0.25">
      <c r="B12" s="381">
        <v>5</v>
      </c>
      <c r="C12" s="386" t="s">
        <v>569</v>
      </c>
      <c r="D12" s="387" t="s">
        <v>570</v>
      </c>
      <c r="E12" s="391">
        <v>300</v>
      </c>
      <c r="F12" s="385"/>
      <c r="G12" s="385"/>
    </row>
    <row r="13" spans="2:7" s="67" customFormat="1" ht="25.5" x14ac:dyDescent="0.25">
      <c r="B13" s="381">
        <v>6</v>
      </c>
      <c r="C13" s="386" t="s">
        <v>571</v>
      </c>
      <c r="D13" s="387" t="s">
        <v>572</v>
      </c>
      <c r="E13" s="391">
        <v>400</v>
      </c>
      <c r="F13" s="385"/>
      <c r="G13" s="385"/>
    </row>
    <row r="14" spans="2:7" s="67" customFormat="1" ht="25.5" x14ac:dyDescent="0.25">
      <c r="B14" s="381">
        <v>7</v>
      </c>
      <c r="C14" s="386" t="s">
        <v>573</v>
      </c>
      <c r="D14" s="389" t="s">
        <v>574</v>
      </c>
      <c r="E14" s="391">
        <v>590</v>
      </c>
      <c r="F14" s="385"/>
      <c r="G14" s="385"/>
    </row>
    <row r="15" spans="2:7" s="67" customFormat="1" ht="25.5" x14ac:dyDescent="0.25">
      <c r="B15" s="381">
        <v>8</v>
      </c>
      <c r="C15" s="386" t="s">
        <v>575</v>
      </c>
      <c r="D15" s="389" t="s">
        <v>576</v>
      </c>
      <c r="E15" s="392">
        <v>400</v>
      </c>
      <c r="F15" s="385"/>
      <c r="G15" s="385"/>
    </row>
    <row r="16" spans="2:7" s="67" customFormat="1" ht="25.5" x14ac:dyDescent="0.25">
      <c r="B16" s="381">
        <v>9</v>
      </c>
      <c r="C16" s="386" t="s">
        <v>577</v>
      </c>
      <c r="D16" s="393" t="s">
        <v>578</v>
      </c>
      <c r="E16" s="384">
        <v>686</v>
      </c>
      <c r="F16" s="385"/>
      <c r="G16" s="385"/>
    </row>
    <row r="17" spans="2:5" s="67" customFormat="1" ht="25.5" x14ac:dyDescent="0.25">
      <c r="B17" s="381">
        <v>10</v>
      </c>
      <c r="C17" s="386" t="s">
        <v>579</v>
      </c>
      <c r="D17" s="393" t="s">
        <v>580</v>
      </c>
      <c r="E17" s="384">
        <v>672</v>
      </c>
    </row>
    <row r="18" spans="2:5" s="67" customFormat="1" x14ac:dyDescent="0.25">
      <c r="B18" s="381">
        <v>11</v>
      </c>
      <c r="C18" s="386" t="s">
        <v>581</v>
      </c>
      <c r="D18" s="393" t="s">
        <v>582</v>
      </c>
      <c r="E18" s="384">
        <v>450</v>
      </c>
    </row>
    <row r="19" spans="2:5" s="67" customFormat="1" ht="51" x14ac:dyDescent="0.25">
      <c r="B19" s="381">
        <v>12</v>
      </c>
      <c r="C19" s="386" t="s">
        <v>583</v>
      </c>
      <c r="D19" s="393" t="s">
        <v>584</v>
      </c>
      <c r="E19" s="391">
        <v>622</v>
      </c>
    </row>
    <row r="20" spans="2:5" s="67" customFormat="1" ht="25.5" x14ac:dyDescent="0.25">
      <c r="B20" s="381">
        <v>13</v>
      </c>
      <c r="C20" s="386" t="s">
        <v>585</v>
      </c>
      <c r="D20" s="393" t="s">
        <v>586</v>
      </c>
      <c r="E20" s="384">
        <v>560</v>
      </c>
    </row>
    <row r="21" spans="2:5" s="67" customFormat="1" ht="25.5" x14ac:dyDescent="0.25">
      <c r="B21" s="381">
        <v>14</v>
      </c>
      <c r="C21" s="386" t="s">
        <v>585</v>
      </c>
      <c r="D21" s="393" t="s">
        <v>587</v>
      </c>
      <c r="E21" s="384">
        <v>579</v>
      </c>
    </row>
    <row r="22" spans="2:5" s="67" customFormat="1" x14ac:dyDescent="0.25">
      <c r="B22" s="381">
        <v>15</v>
      </c>
      <c r="C22" s="386" t="s">
        <v>588</v>
      </c>
      <c r="D22" s="393" t="s">
        <v>589</v>
      </c>
      <c r="E22" s="384">
        <v>672</v>
      </c>
    </row>
    <row r="23" spans="2:5" s="67" customFormat="1" ht="25.5" x14ac:dyDescent="0.25">
      <c r="B23" s="381">
        <v>16</v>
      </c>
      <c r="C23" s="386" t="s">
        <v>590</v>
      </c>
      <c r="D23" s="389" t="s">
        <v>591</v>
      </c>
      <c r="E23" s="394">
        <v>430</v>
      </c>
    </row>
    <row r="24" spans="2:5" s="67" customFormat="1" ht="25.5" x14ac:dyDescent="0.25">
      <c r="B24" s="381">
        <v>17</v>
      </c>
      <c r="C24" s="386" t="s">
        <v>592</v>
      </c>
      <c r="D24" s="389" t="s">
        <v>593</v>
      </c>
      <c r="E24" s="391">
        <v>708</v>
      </c>
    </row>
    <row r="25" spans="2:5" s="67" customFormat="1" ht="25.5" x14ac:dyDescent="0.25">
      <c r="B25" s="381">
        <v>18</v>
      </c>
      <c r="C25" s="386" t="s">
        <v>594</v>
      </c>
      <c r="D25" s="395" t="s">
        <v>595</v>
      </c>
      <c r="E25" s="391">
        <v>500</v>
      </c>
    </row>
    <row r="26" spans="2:5" customFormat="1" ht="27" customHeight="1" thickBot="1" x14ac:dyDescent="0.3">
      <c r="B26" s="396"/>
      <c r="C26" s="695" t="s">
        <v>10</v>
      </c>
      <c r="D26" s="695"/>
      <c r="E26" s="397">
        <v>10000</v>
      </c>
    </row>
  </sheetData>
  <mergeCells count="2">
    <mergeCell ref="B5:E5"/>
    <mergeCell ref="C26:D26"/>
  </mergeCells>
  <pageMargins left="0.6100000000000001" right="0.52" top="0.75" bottom="0.75" header="0.30000000000000004" footer="0.30000000000000004"/>
  <pageSetup paperSize="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/>
  </sheetViews>
  <sheetFormatPr defaultRowHeight="14.25" x14ac:dyDescent="0.2"/>
  <cols>
    <col min="1" max="1" width="9.140625" style="1" customWidth="1"/>
    <col min="2" max="2" width="6" style="1" customWidth="1"/>
    <col min="3" max="4" width="35" style="1" customWidth="1"/>
    <col min="5" max="5" width="11.7109375" style="289" customWidth="1"/>
    <col min="6" max="6" width="9.140625" style="1" customWidth="1"/>
    <col min="7" max="16384" width="9.140625" style="1"/>
  </cols>
  <sheetData>
    <row r="1" spans="2:7" customFormat="1" ht="15" x14ac:dyDescent="0.25">
      <c r="B1" s="371"/>
      <c r="C1" s="371"/>
      <c r="D1" s="371"/>
      <c r="E1" s="372"/>
      <c r="F1" s="371"/>
      <c r="G1" s="371"/>
    </row>
    <row r="2" spans="2:7" customFormat="1" ht="15" x14ac:dyDescent="0.25">
      <c r="B2" s="371"/>
      <c r="C2" s="371"/>
      <c r="D2" s="371"/>
      <c r="E2" s="372"/>
      <c r="F2" s="371"/>
      <c r="G2" s="371"/>
    </row>
    <row r="3" spans="2:7" customFormat="1" ht="15" x14ac:dyDescent="0.25">
      <c r="B3" s="371"/>
      <c r="C3" s="371"/>
      <c r="D3" s="371"/>
      <c r="E3" s="373" t="s">
        <v>596</v>
      </c>
      <c r="F3" s="371"/>
      <c r="G3" s="371"/>
    </row>
    <row r="4" spans="2:7" customFormat="1" ht="15" x14ac:dyDescent="0.25">
      <c r="B4" s="371"/>
      <c r="C4" s="371"/>
      <c r="D4" s="371"/>
      <c r="E4" s="372"/>
      <c r="F4" s="371"/>
      <c r="G4" s="371"/>
    </row>
    <row r="5" spans="2:7" customFormat="1" ht="19.5" x14ac:dyDescent="0.25">
      <c r="B5" s="694" t="s">
        <v>597</v>
      </c>
      <c r="C5" s="694"/>
      <c r="D5" s="694"/>
      <c r="E5" s="694"/>
      <c r="F5" s="371"/>
      <c r="G5" s="371"/>
    </row>
    <row r="6" spans="2:7" customFormat="1" ht="15.75" thickBot="1" x14ac:dyDescent="0.3">
      <c r="B6" s="374"/>
      <c r="C6" s="371"/>
      <c r="D6" s="371"/>
      <c r="E6" s="375"/>
      <c r="F6" s="371"/>
      <c r="G6" s="371"/>
    </row>
    <row r="7" spans="2:7" customFormat="1" ht="30" x14ac:dyDescent="0.25">
      <c r="B7" s="376" t="s">
        <v>222</v>
      </c>
      <c r="C7" s="378" t="s">
        <v>560</v>
      </c>
      <c r="D7" s="378" t="s">
        <v>336</v>
      </c>
      <c r="E7" s="398" t="s">
        <v>297</v>
      </c>
      <c r="F7" s="371"/>
      <c r="G7" s="380"/>
    </row>
    <row r="8" spans="2:7" ht="15" x14ac:dyDescent="0.25">
      <c r="B8" s="399">
        <v>1</v>
      </c>
      <c r="C8" s="400" t="s">
        <v>598</v>
      </c>
      <c r="D8" s="401" t="s">
        <v>599</v>
      </c>
      <c r="E8" s="402">
        <v>469</v>
      </c>
      <c r="F8" s="403"/>
      <c r="G8" s="403"/>
    </row>
    <row r="9" spans="2:7" s="67" customFormat="1" x14ac:dyDescent="0.2">
      <c r="B9" s="399">
        <v>2</v>
      </c>
      <c r="C9" s="404" t="s">
        <v>600</v>
      </c>
      <c r="D9" s="401" t="s">
        <v>601</v>
      </c>
      <c r="E9" s="390">
        <v>608</v>
      </c>
      <c r="F9" s="405"/>
      <c r="G9" s="405"/>
    </row>
    <row r="10" spans="2:7" s="67" customFormat="1" ht="25.5" x14ac:dyDescent="0.2">
      <c r="B10" s="399">
        <v>3</v>
      </c>
      <c r="C10" s="406" t="s">
        <v>600</v>
      </c>
      <c r="D10" s="407" t="s">
        <v>602</v>
      </c>
      <c r="E10" s="390">
        <v>736</v>
      </c>
      <c r="F10" s="405"/>
      <c r="G10" s="405"/>
    </row>
    <row r="11" spans="2:7" s="67" customFormat="1" ht="25.5" x14ac:dyDescent="0.2">
      <c r="B11" s="399">
        <v>4</v>
      </c>
      <c r="C11" s="408" t="s">
        <v>603</v>
      </c>
      <c r="D11" s="407" t="s">
        <v>604</v>
      </c>
      <c r="E11" s="390">
        <v>674</v>
      </c>
      <c r="F11" s="405"/>
      <c r="G11" s="405"/>
    </row>
    <row r="12" spans="2:7" customFormat="1" ht="27" customHeight="1" thickBot="1" x14ac:dyDescent="0.3">
      <c r="B12" s="396"/>
      <c r="C12" s="695" t="s">
        <v>10</v>
      </c>
      <c r="D12" s="695"/>
      <c r="E12" s="397">
        <f>SUM(E8:E11)</f>
        <v>2487</v>
      </c>
      <c r="F12" s="371"/>
      <c r="G12" s="371"/>
    </row>
    <row r="14" spans="2:7" customFormat="1" ht="15" x14ac:dyDescent="0.25">
      <c r="B14" s="371"/>
      <c r="C14" s="403"/>
      <c r="D14" s="403"/>
      <c r="E14" s="403"/>
      <c r="F14" s="403"/>
      <c r="G14" s="403"/>
    </row>
    <row r="15" spans="2:7" customFormat="1" ht="15" x14ac:dyDescent="0.25">
      <c r="B15" s="1"/>
      <c r="C15" s="1"/>
      <c r="D15" s="1"/>
      <c r="E15" s="289"/>
      <c r="F15" s="1"/>
      <c r="G15" s="1"/>
    </row>
    <row r="16" spans="2:7" customFormat="1" ht="15" x14ac:dyDescent="0.25">
      <c r="B16" s="371"/>
      <c r="C16" s="1"/>
      <c r="D16" s="1"/>
      <c r="E16" s="289"/>
      <c r="F16" s="1"/>
      <c r="G16" s="1"/>
    </row>
  </sheetData>
  <mergeCells count="2">
    <mergeCell ref="B5:E5"/>
    <mergeCell ref="C12:D12"/>
  </mergeCells>
  <pageMargins left="0.511811023622047" right="0.511811023622047" top="0.74803149606299213" bottom="0.74803149606299213" header="0.31496062992126012" footer="0.31496062992126012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/>
  </sheetViews>
  <sheetFormatPr defaultRowHeight="14.25" x14ac:dyDescent="0.2"/>
  <cols>
    <col min="1" max="1" width="3.5703125" style="1" customWidth="1"/>
    <col min="2" max="2" width="42.85546875" style="1" customWidth="1"/>
    <col min="3" max="3" width="14.5703125" style="1" customWidth="1"/>
    <col min="4" max="4" width="13.28515625" style="1" customWidth="1"/>
    <col min="5" max="5" width="13.140625" style="1" customWidth="1"/>
    <col min="6" max="6" width="9.140625" style="1" customWidth="1"/>
    <col min="7" max="16384" width="9.140625" style="1"/>
  </cols>
  <sheetData>
    <row r="1" spans="2:15" x14ac:dyDescent="0.2">
      <c r="E1" s="239" t="s">
        <v>605</v>
      </c>
    </row>
    <row r="2" spans="2:15" x14ac:dyDescent="0.2">
      <c r="B2" s="27"/>
      <c r="C2" s="219"/>
      <c r="D2" s="219"/>
      <c r="F2" s="219"/>
      <c r="G2" s="219"/>
    </row>
    <row r="3" spans="2:15" ht="18" x14ac:dyDescent="0.25">
      <c r="B3" s="660" t="s">
        <v>606</v>
      </c>
      <c r="C3" s="660"/>
      <c r="D3" s="660"/>
      <c r="E3" s="660"/>
      <c r="F3" s="219"/>
      <c r="G3" s="219"/>
    </row>
    <row r="4" spans="2:15" ht="15" thickBot="1" x14ac:dyDescent="0.25">
      <c r="B4" s="27"/>
      <c r="C4" s="219"/>
      <c r="D4" s="219"/>
      <c r="E4" s="219"/>
      <c r="F4" s="219"/>
      <c r="G4" s="219"/>
    </row>
    <row r="5" spans="2:15" ht="15.75" thickBot="1" x14ac:dyDescent="0.3">
      <c r="B5" s="696" t="s">
        <v>22</v>
      </c>
      <c r="C5" s="697" t="s">
        <v>607</v>
      </c>
      <c r="D5" s="697" t="s">
        <v>608</v>
      </c>
      <c r="E5" s="409" t="s">
        <v>609</v>
      </c>
      <c r="F5" s="219"/>
      <c r="G5" s="27"/>
    </row>
    <row r="6" spans="2:15" ht="15" x14ac:dyDescent="0.25">
      <c r="B6" s="696"/>
      <c r="C6" s="697"/>
      <c r="D6" s="697"/>
      <c r="E6" s="410" t="s">
        <v>610</v>
      </c>
      <c r="F6" s="219"/>
      <c r="G6" s="27"/>
    </row>
    <row r="7" spans="2:15" ht="13.5" customHeight="1" x14ac:dyDescent="0.2">
      <c r="B7" s="411" t="s">
        <v>611</v>
      </c>
      <c r="C7" s="412">
        <v>787090.23</v>
      </c>
      <c r="D7" s="412">
        <v>735079</v>
      </c>
      <c r="E7" s="32">
        <f t="shared" ref="E7:E25" si="0">C7-D7</f>
        <v>52011.229999999981</v>
      </c>
      <c r="F7" s="219"/>
      <c r="G7" s="27"/>
    </row>
    <row r="8" spans="2:15" ht="14.25" customHeight="1" x14ac:dyDescent="0.2">
      <c r="B8" s="411" t="s">
        <v>612</v>
      </c>
      <c r="C8" s="412">
        <v>19906.189999999999</v>
      </c>
      <c r="D8" s="412">
        <v>19991</v>
      </c>
      <c r="E8" s="32">
        <f t="shared" si="0"/>
        <v>-84.81000000000131</v>
      </c>
      <c r="F8" s="219"/>
      <c r="G8" s="27"/>
    </row>
    <row r="9" spans="2:15" ht="17.25" customHeight="1" x14ac:dyDescent="0.2">
      <c r="B9" s="413" t="s">
        <v>613</v>
      </c>
      <c r="C9" s="414">
        <v>-348.07</v>
      </c>
      <c r="D9" s="414">
        <v>-348</v>
      </c>
      <c r="E9" s="123">
        <f t="shared" si="0"/>
        <v>-6.9999999999993179E-2</v>
      </c>
      <c r="F9" s="219"/>
      <c r="G9" s="27"/>
    </row>
    <row r="10" spans="2:15" ht="12.75" customHeight="1" x14ac:dyDescent="0.2">
      <c r="B10" s="411" t="s">
        <v>614</v>
      </c>
      <c r="C10" s="412">
        <v>242.27</v>
      </c>
      <c r="D10" s="412">
        <v>242</v>
      </c>
      <c r="E10" s="32">
        <f t="shared" si="0"/>
        <v>0.27000000000001023</v>
      </c>
      <c r="F10" s="219"/>
      <c r="G10" s="27"/>
      <c r="O10" s="27"/>
    </row>
    <row r="11" spans="2:15" x14ac:dyDescent="0.2">
      <c r="B11" s="411" t="s">
        <v>615</v>
      </c>
      <c r="C11" s="412">
        <v>8017.25</v>
      </c>
      <c r="D11" s="412">
        <v>15565</v>
      </c>
      <c r="E11" s="32">
        <f t="shared" si="0"/>
        <v>-7547.75</v>
      </c>
      <c r="F11" s="219"/>
      <c r="G11" s="27"/>
    </row>
    <row r="12" spans="2:15" x14ac:dyDescent="0.2">
      <c r="B12" s="411" t="s">
        <v>616</v>
      </c>
      <c r="C12" s="412">
        <v>-26.54</v>
      </c>
      <c r="D12" s="412">
        <v>-27</v>
      </c>
      <c r="E12" s="32">
        <f t="shared" si="0"/>
        <v>0.46000000000000085</v>
      </c>
      <c r="F12" s="219"/>
      <c r="G12" s="27"/>
    </row>
    <row r="13" spans="2:15" x14ac:dyDescent="0.2">
      <c r="B13" s="411" t="s">
        <v>617</v>
      </c>
      <c r="C13" s="412">
        <v>33800.5</v>
      </c>
      <c r="D13" s="412">
        <v>25125</v>
      </c>
      <c r="E13" s="32">
        <f t="shared" si="0"/>
        <v>8675.5</v>
      </c>
      <c r="F13" s="219"/>
      <c r="G13" s="27"/>
    </row>
    <row r="14" spans="2:15" ht="15" customHeight="1" x14ac:dyDescent="0.2">
      <c r="B14" s="411" t="s">
        <v>618</v>
      </c>
      <c r="C14" s="412">
        <v>1534215.94</v>
      </c>
      <c r="D14" s="412">
        <v>1464325</v>
      </c>
      <c r="E14" s="32">
        <f t="shared" si="0"/>
        <v>69890.939999999944</v>
      </c>
      <c r="F14" s="219"/>
      <c r="G14" s="27"/>
    </row>
    <row r="15" spans="2:15" ht="14.25" customHeight="1" x14ac:dyDescent="0.2">
      <c r="B15" s="411" t="s">
        <v>619</v>
      </c>
      <c r="C15" s="412">
        <v>617658.4</v>
      </c>
      <c r="D15" s="412">
        <v>637536</v>
      </c>
      <c r="E15" s="32">
        <f t="shared" si="0"/>
        <v>-19877.599999999977</v>
      </c>
      <c r="F15" s="219"/>
      <c r="G15" s="27"/>
    </row>
    <row r="16" spans="2:15" x14ac:dyDescent="0.2">
      <c r="B16" s="413" t="s">
        <v>620</v>
      </c>
      <c r="C16" s="414">
        <v>114722.13</v>
      </c>
      <c r="D16" s="414">
        <v>118961</v>
      </c>
      <c r="E16" s="123">
        <f t="shared" si="0"/>
        <v>-4238.8699999999953</v>
      </c>
      <c r="F16" s="219"/>
      <c r="G16" s="27"/>
    </row>
    <row r="17" spans="2:7" ht="13.5" customHeight="1" x14ac:dyDescent="0.2">
      <c r="B17" s="411" t="s">
        <v>621</v>
      </c>
      <c r="C17" s="412">
        <v>77787.7</v>
      </c>
      <c r="D17" s="412">
        <v>74152</v>
      </c>
      <c r="E17" s="32">
        <f t="shared" si="0"/>
        <v>3635.6999999999971</v>
      </c>
      <c r="F17" s="219"/>
      <c r="G17" s="27"/>
    </row>
    <row r="18" spans="2:7" ht="13.5" customHeight="1" x14ac:dyDescent="0.2">
      <c r="B18" s="411" t="s">
        <v>622</v>
      </c>
      <c r="C18" s="412">
        <v>0</v>
      </c>
      <c r="D18" s="412">
        <v>0</v>
      </c>
      <c r="E18" s="32">
        <f t="shared" si="0"/>
        <v>0</v>
      </c>
      <c r="F18" s="219"/>
      <c r="G18" s="27"/>
    </row>
    <row r="19" spans="2:7" ht="15" customHeight="1" x14ac:dyDescent="0.2">
      <c r="B19" s="411" t="s">
        <v>623</v>
      </c>
      <c r="C19" s="412">
        <v>325.79000000000002</v>
      </c>
      <c r="D19" s="412">
        <v>331</v>
      </c>
      <c r="E19" s="32">
        <f t="shared" si="0"/>
        <v>-5.2099999999999795</v>
      </c>
      <c r="F19" s="219"/>
      <c r="G19" s="27"/>
    </row>
    <row r="20" spans="2:7" ht="14.25" customHeight="1" x14ac:dyDescent="0.2">
      <c r="B20" s="411" t="s">
        <v>624</v>
      </c>
      <c r="C20" s="412">
        <v>220.77</v>
      </c>
      <c r="D20" s="412">
        <v>12158</v>
      </c>
      <c r="E20" s="32">
        <f t="shared" si="0"/>
        <v>-11937.23</v>
      </c>
      <c r="F20" s="219"/>
      <c r="G20" s="27"/>
    </row>
    <row r="21" spans="2:7" ht="14.25" customHeight="1" x14ac:dyDescent="0.2">
      <c r="B21" s="415" t="s">
        <v>625</v>
      </c>
      <c r="C21" s="416">
        <v>103354.81</v>
      </c>
      <c r="D21" s="416">
        <v>105452</v>
      </c>
      <c r="E21" s="32">
        <f t="shared" si="0"/>
        <v>-2097.1900000000023</v>
      </c>
      <c r="F21" s="219"/>
      <c r="G21" s="27"/>
    </row>
    <row r="22" spans="2:7" ht="14.25" customHeight="1" x14ac:dyDescent="0.2">
      <c r="B22" s="415" t="s">
        <v>626</v>
      </c>
      <c r="C22" s="416">
        <v>6873.52</v>
      </c>
      <c r="D22" s="416">
        <v>20115</v>
      </c>
      <c r="E22" s="32">
        <f t="shared" si="0"/>
        <v>-13241.48</v>
      </c>
      <c r="F22" s="219"/>
      <c r="G22" s="27"/>
    </row>
    <row r="23" spans="2:7" ht="14.25" customHeight="1" x14ac:dyDescent="0.2">
      <c r="B23" s="415" t="s">
        <v>627</v>
      </c>
      <c r="C23" s="416">
        <v>0</v>
      </c>
      <c r="D23" s="416">
        <v>0</v>
      </c>
      <c r="E23" s="32">
        <f t="shared" si="0"/>
        <v>0</v>
      </c>
      <c r="F23" s="219"/>
      <c r="G23" s="27"/>
    </row>
    <row r="24" spans="2:7" ht="15" customHeight="1" thickBot="1" x14ac:dyDescent="0.25">
      <c r="B24" s="415" t="s">
        <v>628</v>
      </c>
      <c r="C24" s="416">
        <v>242778.98</v>
      </c>
      <c r="D24" s="416">
        <f>322132</f>
        <v>322132</v>
      </c>
      <c r="E24" s="417">
        <f t="shared" si="0"/>
        <v>-79353.01999999999</v>
      </c>
      <c r="F24" s="219"/>
      <c r="G24" s="27"/>
    </row>
    <row r="25" spans="2:7" s="67" customFormat="1" ht="27.75" customHeight="1" thickTop="1" thickBot="1" x14ac:dyDescent="0.3">
      <c r="B25" s="418" t="s">
        <v>137</v>
      </c>
      <c r="C25" s="419">
        <f>SUM(C7:C24)</f>
        <v>3546619.87</v>
      </c>
      <c r="D25" s="107">
        <f>SUM(D7:D24)</f>
        <v>3550789</v>
      </c>
      <c r="E25" s="92">
        <f t="shared" si="0"/>
        <v>-4169.1299999998882</v>
      </c>
      <c r="F25" s="420"/>
      <c r="G25" s="131"/>
    </row>
    <row r="27" spans="2:7" ht="33" customHeight="1" x14ac:dyDescent="0.25">
      <c r="B27" s="684"/>
      <c r="C27" s="684"/>
      <c r="D27" s="684"/>
      <c r="E27" s="684"/>
      <c r="F27" s="219"/>
      <c r="G27" s="219"/>
    </row>
    <row r="28" spans="2:7" x14ac:dyDescent="0.2">
      <c r="B28" s="27"/>
      <c r="C28" s="219"/>
      <c r="D28" s="219"/>
      <c r="E28" s="219"/>
      <c r="F28" s="219"/>
      <c r="G28" s="27"/>
    </row>
  </sheetData>
  <mergeCells count="5">
    <mergeCell ref="B3:E3"/>
    <mergeCell ref="B5:B6"/>
    <mergeCell ref="C5:C6"/>
    <mergeCell ref="D5:D6"/>
    <mergeCell ref="B27:E27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/>
  </sheetViews>
  <sheetFormatPr defaultRowHeight="12" x14ac:dyDescent="0.2"/>
  <cols>
    <col min="1" max="1" width="11.7109375" style="290" customWidth="1"/>
    <col min="2" max="2" width="22.42578125" style="42" customWidth="1"/>
    <col min="3" max="3" width="15.5703125" style="42" customWidth="1"/>
    <col min="4" max="4" width="16.42578125" style="290" customWidth="1"/>
    <col min="5" max="5" width="11.5703125" style="421" customWidth="1"/>
    <col min="6" max="6" width="14.5703125" style="421" customWidth="1"/>
    <col min="7" max="7" width="18.42578125" style="421" customWidth="1"/>
    <col min="8" max="8" width="12.85546875" style="421" customWidth="1"/>
    <col min="9" max="9" width="12.5703125" style="421" customWidth="1"/>
    <col min="10" max="10" width="11.5703125" style="422" customWidth="1"/>
    <col min="11" max="11" width="17.7109375" style="42" customWidth="1"/>
    <col min="12" max="12" width="20.7109375" style="423" customWidth="1"/>
    <col min="13" max="15" width="9.140625" style="421" customWidth="1"/>
    <col min="16" max="244" width="9.140625" style="42" customWidth="1"/>
    <col min="245" max="245" width="11.7109375" style="42" customWidth="1"/>
    <col min="246" max="246" width="16.7109375" style="42" customWidth="1"/>
    <col min="247" max="247" width="14.42578125" style="42" customWidth="1"/>
    <col min="248" max="248" width="13.140625" style="42" customWidth="1"/>
    <col min="249" max="249" width="13.28515625" style="42" customWidth="1"/>
    <col min="250" max="250" width="11.85546875" style="42" customWidth="1"/>
    <col min="251" max="251" width="16" style="42" customWidth="1"/>
    <col min="252" max="252" width="12" style="42" customWidth="1"/>
    <col min="253" max="253" width="11.5703125" style="42" customWidth="1"/>
    <col min="254" max="254" width="11.7109375" style="42" customWidth="1"/>
    <col min="255" max="255" width="17.5703125" style="42" customWidth="1"/>
    <col min="256" max="256" width="6.42578125" style="42" customWidth="1"/>
    <col min="257" max="257" width="29.28515625" style="42" customWidth="1"/>
    <col min="258" max="258" width="18.85546875" style="42" customWidth="1"/>
    <col min="259" max="500" width="9.140625" style="42" customWidth="1"/>
    <col min="501" max="501" width="11.7109375" style="42" customWidth="1"/>
    <col min="502" max="502" width="16.7109375" style="42" customWidth="1"/>
    <col min="503" max="503" width="14.42578125" style="42" customWidth="1"/>
    <col min="504" max="504" width="13.140625" style="42" customWidth="1"/>
    <col min="505" max="505" width="13.28515625" style="42" customWidth="1"/>
    <col min="506" max="506" width="11.85546875" style="42" customWidth="1"/>
    <col min="507" max="507" width="16" style="42" customWidth="1"/>
    <col min="508" max="508" width="12" style="42" customWidth="1"/>
    <col min="509" max="509" width="11.5703125" style="42" customWidth="1"/>
    <col min="510" max="510" width="11.7109375" style="42" customWidth="1"/>
    <col min="511" max="511" width="17.5703125" style="42" customWidth="1"/>
    <col min="512" max="512" width="6.42578125" style="42" customWidth="1"/>
    <col min="513" max="513" width="29.28515625" style="42" customWidth="1"/>
    <col min="514" max="514" width="18.85546875" style="42" customWidth="1"/>
    <col min="515" max="756" width="9.140625" style="42" customWidth="1"/>
    <col min="757" max="757" width="11.7109375" style="42" customWidth="1"/>
    <col min="758" max="758" width="16.7109375" style="42" customWidth="1"/>
    <col min="759" max="759" width="14.42578125" style="42" customWidth="1"/>
    <col min="760" max="760" width="13.140625" style="42" customWidth="1"/>
    <col min="761" max="761" width="13.28515625" style="42" customWidth="1"/>
    <col min="762" max="762" width="11.85546875" style="42" customWidth="1"/>
    <col min="763" max="763" width="16" style="42" customWidth="1"/>
    <col min="764" max="764" width="12" style="42" customWidth="1"/>
    <col min="765" max="765" width="11.5703125" style="42" customWidth="1"/>
    <col min="766" max="766" width="11.7109375" style="42" customWidth="1"/>
    <col min="767" max="767" width="17.5703125" style="42" customWidth="1"/>
    <col min="768" max="768" width="6.42578125" style="42" customWidth="1"/>
    <col min="769" max="769" width="29.28515625" style="42" customWidth="1"/>
    <col min="770" max="770" width="18.85546875" style="42" customWidth="1"/>
    <col min="771" max="1012" width="9.140625" style="42" customWidth="1"/>
    <col min="1013" max="1013" width="11.7109375" style="42" customWidth="1"/>
    <col min="1014" max="1014" width="16.7109375" style="42" customWidth="1"/>
    <col min="1015" max="1015" width="14.42578125" style="42" customWidth="1"/>
    <col min="1016" max="1016" width="13.140625" style="42" customWidth="1"/>
    <col min="1017" max="1017" width="13.28515625" style="42" customWidth="1"/>
    <col min="1018" max="1018" width="11.85546875" style="42" customWidth="1"/>
    <col min="1019" max="1019" width="16" style="42" customWidth="1"/>
    <col min="1020" max="1020" width="12" style="42" customWidth="1"/>
    <col min="1021" max="1021" width="11.5703125" style="42" customWidth="1"/>
    <col min="1022" max="1022" width="11.7109375" style="42" customWidth="1"/>
    <col min="1023" max="1023" width="17.5703125" style="42" customWidth="1"/>
    <col min="1024" max="1024" width="6.42578125" style="42" customWidth="1"/>
    <col min="1025" max="1025" width="29.28515625" style="42" customWidth="1"/>
    <col min="1026" max="1026" width="18.85546875" style="42" customWidth="1"/>
    <col min="1027" max="1268" width="9.140625" style="42" customWidth="1"/>
    <col min="1269" max="1269" width="11.7109375" style="42" customWidth="1"/>
    <col min="1270" max="1270" width="16.7109375" style="42" customWidth="1"/>
    <col min="1271" max="1271" width="14.42578125" style="42" customWidth="1"/>
    <col min="1272" max="1272" width="13.140625" style="42" customWidth="1"/>
    <col min="1273" max="1273" width="13.28515625" style="42" customWidth="1"/>
    <col min="1274" max="1274" width="11.85546875" style="42" customWidth="1"/>
    <col min="1275" max="1275" width="16" style="42" customWidth="1"/>
    <col min="1276" max="1276" width="12" style="42" customWidth="1"/>
    <col min="1277" max="1277" width="11.5703125" style="42" customWidth="1"/>
    <col min="1278" max="1278" width="11.7109375" style="42" customWidth="1"/>
    <col min="1279" max="1279" width="17.5703125" style="42" customWidth="1"/>
    <col min="1280" max="1280" width="6.42578125" style="42" customWidth="1"/>
    <col min="1281" max="1281" width="29.28515625" style="42" customWidth="1"/>
    <col min="1282" max="1282" width="18.85546875" style="42" customWidth="1"/>
    <col min="1283" max="1524" width="9.140625" style="42" customWidth="1"/>
    <col min="1525" max="1525" width="11.7109375" style="42" customWidth="1"/>
    <col min="1526" max="1526" width="16.7109375" style="42" customWidth="1"/>
    <col min="1527" max="1527" width="14.42578125" style="42" customWidth="1"/>
    <col min="1528" max="1528" width="13.140625" style="42" customWidth="1"/>
    <col min="1529" max="1529" width="13.28515625" style="42" customWidth="1"/>
    <col min="1530" max="1530" width="11.85546875" style="42" customWidth="1"/>
    <col min="1531" max="1531" width="16" style="42" customWidth="1"/>
    <col min="1532" max="1532" width="12" style="42" customWidth="1"/>
    <col min="1533" max="1533" width="11.5703125" style="42" customWidth="1"/>
    <col min="1534" max="1534" width="11.7109375" style="42" customWidth="1"/>
    <col min="1535" max="1535" width="17.5703125" style="42" customWidth="1"/>
    <col min="1536" max="1536" width="6.42578125" style="42" customWidth="1"/>
    <col min="1537" max="1537" width="29.28515625" style="42" customWidth="1"/>
    <col min="1538" max="1538" width="18.85546875" style="42" customWidth="1"/>
    <col min="1539" max="1780" width="9.140625" style="42" customWidth="1"/>
    <col min="1781" max="1781" width="11.7109375" style="42" customWidth="1"/>
    <col min="1782" max="1782" width="16.7109375" style="42" customWidth="1"/>
    <col min="1783" max="1783" width="14.42578125" style="42" customWidth="1"/>
    <col min="1784" max="1784" width="13.140625" style="42" customWidth="1"/>
    <col min="1785" max="1785" width="13.28515625" style="42" customWidth="1"/>
    <col min="1786" max="1786" width="11.85546875" style="42" customWidth="1"/>
    <col min="1787" max="1787" width="16" style="42" customWidth="1"/>
    <col min="1788" max="1788" width="12" style="42" customWidth="1"/>
    <col min="1789" max="1789" width="11.5703125" style="42" customWidth="1"/>
    <col min="1790" max="1790" width="11.7109375" style="42" customWidth="1"/>
    <col min="1791" max="1791" width="17.5703125" style="42" customWidth="1"/>
    <col min="1792" max="1792" width="6.42578125" style="42" customWidth="1"/>
    <col min="1793" max="1793" width="29.28515625" style="42" customWidth="1"/>
    <col min="1794" max="1794" width="18.85546875" style="42" customWidth="1"/>
    <col min="1795" max="2036" width="9.140625" style="42" customWidth="1"/>
    <col min="2037" max="2037" width="11.7109375" style="42" customWidth="1"/>
    <col min="2038" max="2038" width="16.7109375" style="42" customWidth="1"/>
    <col min="2039" max="2039" width="14.42578125" style="42" customWidth="1"/>
    <col min="2040" max="2040" width="13.140625" style="42" customWidth="1"/>
    <col min="2041" max="2041" width="13.28515625" style="42" customWidth="1"/>
    <col min="2042" max="2042" width="11.85546875" style="42" customWidth="1"/>
    <col min="2043" max="2043" width="16" style="42" customWidth="1"/>
    <col min="2044" max="2044" width="12" style="42" customWidth="1"/>
    <col min="2045" max="2045" width="11.5703125" style="42" customWidth="1"/>
    <col min="2046" max="2046" width="11.7109375" style="42" customWidth="1"/>
    <col min="2047" max="2047" width="17.5703125" style="42" customWidth="1"/>
    <col min="2048" max="2048" width="6.42578125" style="42" customWidth="1"/>
    <col min="2049" max="2049" width="29.28515625" style="42" customWidth="1"/>
    <col min="2050" max="2050" width="18.85546875" style="42" customWidth="1"/>
    <col min="2051" max="2292" width="9.140625" style="42" customWidth="1"/>
    <col min="2293" max="2293" width="11.7109375" style="42" customWidth="1"/>
    <col min="2294" max="2294" width="16.7109375" style="42" customWidth="1"/>
    <col min="2295" max="2295" width="14.42578125" style="42" customWidth="1"/>
    <col min="2296" max="2296" width="13.140625" style="42" customWidth="1"/>
    <col min="2297" max="2297" width="13.28515625" style="42" customWidth="1"/>
    <col min="2298" max="2298" width="11.85546875" style="42" customWidth="1"/>
    <col min="2299" max="2299" width="16" style="42" customWidth="1"/>
    <col min="2300" max="2300" width="12" style="42" customWidth="1"/>
    <col min="2301" max="2301" width="11.5703125" style="42" customWidth="1"/>
    <col min="2302" max="2302" width="11.7109375" style="42" customWidth="1"/>
    <col min="2303" max="2303" width="17.5703125" style="42" customWidth="1"/>
    <col min="2304" max="2304" width="6.42578125" style="42" customWidth="1"/>
    <col min="2305" max="2305" width="29.28515625" style="42" customWidth="1"/>
    <col min="2306" max="2306" width="18.85546875" style="42" customWidth="1"/>
    <col min="2307" max="2548" width="9.140625" style="42" customWidth="1"/>
    <col min="2549" max="2549" width="11.7109375" style="42" customWidth="1"/>
    <col min="2550" max="2550" width="16.7109375" style="42" customWidth="1"/>
    <col min="2551" max="2551" width="14.42578125" style="42" customWidth="1"/>
    <col min="2552" max="2552" width="13.140625" style="42" customWidth="1"/>
    <col min="2553" max="2553" width="13.28515625" style="42" customWidth="1"/>
    <col min="2554" max="2554" width="11.85546875" style="42" customWidth="1"/>
    <col min="2555" max="2555" width="16" style="42" customWidth="1"/>
    <col min="2556" max="2556" width="12" style="42" customWidth="1"/>
    <col min="2557" max="2557" width="11.5703125" style="42" customWidth="1"/>
    <col min="2558" max="2558" width="11.7109375" style="42" customWidth="1"/>
    <col min="2559" max="2559" width="17.5703125" style="42" customWidth="1"/>
    <col min="2560" max="2560" width="6.42578125" style="42" customWidth="1"/>
    <col min="2561" max="2561" width="29.28515625" style="42" customWidth="1"/>
    <col min="2562" max="2562" width="18.85546875" style="42" customWidth="1"/>
    <col min="2563" max="2804" width="9.140625" style="42" customWidth="1"/>
    <col min="2805" max="2805" width="11.7109375" style="42" customWidth="1"/>
    <col min="2806" max="2806" width="16.7109375" style="42" customWidth="1"/>
    <col min="2807" max="2807" width="14.42578125" style="42" customWidth="1"/>
    <col min="2808" max="2808" width="13.140625" style="42" customWidth="1"/>
    <col min="2809" max="2809" width="13.28515625" style="42" customWidth="1"/>
    <col min="2810" max="2810" width="11.85546875" style="42" customWidth="1"/>
    <col min="2811" max="2811" width="16" style="42" customWidth="1"/>
    <col min="2812" max="2812" width="12" style="42" customWidth="1"/>
    <col min="2813" max="2813" width="11.5703125" style="42" customWidth="1"/>
    <col min="2814" max="2814" width="11.7109375" style="42" customWidth="1"/>
    <col min="2815" max="2815" width="17.5703125" style="42" customWidth="1"/>
    <col min="2816" max="2816" width="6.42578125" style="42" customWidth="1"/>
    <col min="2817" max="2817" width="29.28515625" style="42" customWidth="1"/>
    <col min="2818" max="2818" width="18.85546875" style="42" customWidth="1"/>
    <col min="2819" max="3060" width="9.140625" style="42" customWidth="1"/>
    <col min="3061" max="3061" width="11.7109375" style="42" customWidth="1"/>
    <col min="3062" max="3062" width="16.7109375" style="42" customWidth="1"/>
    <col min="3063" max="3063" width="14.42578125" style="42" customWidth="1"/>
    <col min="3064" max="3064" width="13.140625" style="42" customWidth="1"/>
    <col min="3065" max="3065" width="13.28515625" style="42" customWidth="1"/>
    <col min="3066" max="3066" width="11.85546875" style="42" customWidth="1"/>
    <col min="3067" max="3067" width="16" style="42" customWidth="1"/>
    <col min="3068" max="3068" width="12" style="42" customWidth="1"/>
    <col min="3069" max="3069" width="11.5703125" style="42" customWidth="1"/>
    <col min="3070" max="3070" width="11.7109375" style="42" customWidth="1"/>
    <col min="3071" max="3071" width="17.5703125" style="42" customWidth="1"/>
    <col min="3072" max="3072" width="6.42578125" style="42" customWidth="1"/>
    <col min="3073" max="3073" width="29.28515625" style="42" customWidth="1"/>
    <col min="3074" max="3074" width="18.85546875" style="42" customWidth="1"/>
    <col min="3075" max="3316" width="9.140625" style="42" customWidth="1"/>
    <col min="3317" max="3317" width="11.7109375" style="42" customWidth="1"/>
    <col min="3318" max="3318" width="16.7109375" style="42" customWidth="1"/>
    <col min="3319" max="3319" width="14.42578125" style="42" customWidth="1"/>
    <col min="3320" max="3320" width="13.140625" style="42" customWidth="1"/>
    <col min="3321" max="3321" width="13.28515625" style="42" customWidth="1"/>
    <col min="3322" max="3322" width="11.85546875" style="42" customWidth="1"/>
    <col min="3323" max="3323" width="16" style="42" customWidth="1"/>
    <col min="3324" max="3324" width="12" style="42" customWidth="1"/>
    <col min="3325" max="3325" width="11.5703125" style="42" customWidth="1"/>
    <col min="3326" max="3326" width="11.7109375" style="42" customWidth="1"/>
    <col min="3327" max="3327" width="17.5703125" style="42" customWidth="1"/>
    <col min="3328" max="3328" width="6.42578125" style="42" customWidth="1"/>
    <col min="3329" max="3329" width="29.28515625" style="42" customWidth="1"/>
    <col min="3330" max="3330" width="18.85546875" style="42" customWidth="1"/>
    <col min="3331" max="3572" width="9.140625" style="42" customWidth="1"/>
    <col min="3573" max="3573" width="11.7109375" style="42" customWidth="1"/>
    <col min="3574" max="3574" width="16.7109375" style="42" customWidth="1"/>
    <col min="3575" max="3575" width="14.42578125" style="42" customWidth="1"/>
    <col min="3576" max="3576" width="13.140625" style="42" customWidth="1"/>
    <col min="3577" max="3577" width="13.28515625" style="42" customWidth="1"/>
    <col min="3578" max="3578" width="11.85546875" style="42" customWidth="1"/>
    <col min="3579" max="3579" width="16" style="42" customWidth="1"/>
    <col min="3580" max="3580" width="12" style="42" customWidth="1"/>
    <col min="3581" max="3581" width="11.5703125" style="42" customWidth="1"/>
    <col min="3582" max="3582" width="11.7109375" style="42" customWidth="1"/>
    <col min="3583" max="3583" width="17.5703125" style="42" customWidth="1"/>
    <col min="3584" max="3584" width="6.42578125" style="42" customWidth="1"/>
    <col min="3585" max="3585" width="29.28515625" style="42" customWidth="1"/>
    <col min="3586" max="3586" width="18.85546875" style="42" customWidth="1"/>
    <col min="3587" max="3828" width="9.140625" style="42" customWidth="1"/>
    <col min="3829" max="3829" width="11.7109375" style="42" customWidth="1"/>
    <col min="3830" max="3830" width="16.7109375" style="42" customWidth="1"/>
    <col min="3831" max="3831" width="14.42578125" style="42" customWidth="1"/>
    <col min="3832" max="3832" width="13.140625" style="42" customWidth="1"/>
    <col min="3833" max="3833" width="13.28515625" style="42" customWidth="1"/>
    <col min="3834" max="3834" width="11.85546875" style="42" customWidth="1"/>
    <col min="3835" max="3835" width="16" style="42" customWidth="1"/>
    <col min="3836" max="3836" width="12" style="42" customWidth="1"/>
    <col min="3837" max="3837" width="11.5703125" style="42" customWidth="1"/>
    <col min="3838" max="3838" width="11.7109375" style="42" customWidth="1"/>
    <col min="3839" max="3839" width="17.5703125" style="42" customWidth="1"/>
    <col min="3840" max="3840" width="6.42578125" style="42" customWidth="1"/>
    <col min="3841" max="3841" width="29.28515625" style="42" customWidth="1"/>
    <col min="3842" max="3842" width="18.85546875" style="42" customWidth="1"/>
    <col min="3843" max="4084" width="9.140625" style="42" customWidth="1"/>
    <col min="4085" max="4085" width="11.7109375" style="42" customWidth="1"/>
    <col min="4086" max="4086" width="16.7109375" style="42" customWidth="1"/>
    <col min="4087" max="4087" width="14.42578125" style="42" customWidth="1"/>
    <col min="4088" max="4088" width="13.140625" style="42" customWidth="1"/>
    <col min="4089" max="4089" width="13.28515625" style="42" customWidth="1"/>
    <col min="4090" max="4090" width="11.85546875" style="42" customWidth="1"/>
    <col min="4091" max="4091" width="16" style="42" customWidth="1"/>
    <col min="4092" max="4092" width="12" style="42" customWidth="1"/>
    <col min="4093" max="4093" width="11.5703125" style="42" customWidth="1"/>
    <col min="4094" max="4094" width="11.7109375" style="42" customWidth="1"/>
    <col min="4095" max="4095" width="17.5703125" style="42" customWidth="1"/>
    <col min="4096" max="4096" width="6.42578125" style="42" customWidth="1"/>
    <col min="4097" max="4097" width="29.28515625" style="42" customWidth="1"/>
    <col min="4098" max="4098" width="18.85546875" style="42" customWidth="1"/>
    <col min="4099" max="4340" width="9.140625" style="42" customWidth="1"/>
    <col min="4341" max="4341" width="11.7109375" style="42" customWidth="1"/>
    <col min="4342" max="4342" width="16.7109375" style="42" customWidth="1"/>
    <col min="4343" max="4343" width="14.42578125" style="42" customWidth="1"/>
    <col min="4344" max="4344" width="13.140625" style="42" customWidth="1"/>
    <col min="4345" max="4345" width="13.28515625" style="42" customWidth="1"/>
    <col min="4346" max="4346" width="11.85546875" style="42" customWidth="1"/>
    <col min="4347" max="4347" width="16" style="42" customWidth="1"/>
    <col min="4348" max="4348" width="12" style="42" customWidth="1"/>
    <col min="4349" max="4349" width="11.5703125" style="42" customWidth="1"/>
    <col min="4350" max="4350" width="11.7109375" style="42" customWidth="1"/>
    <col min="4351" max="4351" width="17.5703125" style="42" customWidth="1"/>
    <col min="4352" max="4352" width="6.42578125" style="42" customWidth="1"/>
    <col min="4353" max="4353" width="29.28515625" style="42" customWidth="1"/>
    <col min="4354" max="4354" width="18.85546875" style="42" customWidth="1"/>
    <col min="4355" max="4596" width="9.140625" style="42" customWidth="1"/>
    <col min="4597" max="4597" width="11.7109375" style="42" customWidth="1"/>
    <col min="4598" max="4598" width="16.7109375" style="42" customWidth="1"/>
    <col min="4599" max="4599" width="14.42578125" style="42" customWidth="1"/>
    <col min="4600" max="4600" width="13.140625" style="42" customWidth="1"/>
    <col min="4601" max="4601" width="13.28515625" style="42" customWidth="1"/>
    <col min="4602" max="4602" width="11.85546875" style="42" customWidth="1"/>
    <col min="4603" max="4603" width="16" style="42" customWidth="1"/>
    <col min="4604" max="4604" width="12" style="42" customWidth="1"/>
    <col min="4605" max="4605" width="11.5703125" style="42" customWidth="1"/>
    <col min="4606" max="4606" width="11.7109375" style="42" customWidth="1"/>
    <col min="4607" max="4607" width="17.5703125" style="42" customWidth="1"/>
    <col min="4608" max="4608" width="6.42578125" style="42" customWidth="1"/>
    <col min="4609" max="4609" width="29.28515625" style="42" customWidth="1"/>
    <col min="4610" max="4610" width="18.85546875" style="42" customWidth="1"/>
    <col min="4611" max="4852" width="9.140625" style="42" customWidth="1"/>
    <col min="4853" max="4853" width="11.7109375" style="42" customWidth="1"/>
    <col min="4854" max="4854" width="16.7109375" style="42" customWidth="1"/>
    <col min="4855" max="4855" width="14.42578125" style="42" customWidth="1"/>
    <col min="4856" max="4856" width="13.140625" style="42" customWidth="1"/>
    <col min="4857" max="4857" width="13.28515625" style="42" customWidth="1"/>
    <col min="4858" max="4858" width="11.85546875" style="42" customWidth="1"/>
    <col min="4859" max="4859" width="16" style="42" customWidth="1"/>
    <col min="4860" max="4860" width="12" style="42" customWidth="1"/>
    <col min="4861" max="4861" width="11.5703125" style="42" customWidth="1"/>
    <col min="4862" max="4862" width="11.7109375" style="42" customWidth="1"/>
    <col min="4863" max="4863" width="17.5703125" style="42" customWidth="1"/>
    <col min="4864" max="4864" width="6.42578125" style="42" customWidth="1"/>
    <col min="4865" max="4865" width="29.28515625" style="42" customWidth="1"/>
    <col min="4866" max="4866" width="18.85546875" style="42" customWidth="1"/>
    <col min="4867" max="5108" width="9.140625" style="42" customWidth="1"/>
    <col min="5109" max="5109" width="11.7109375" style="42" customWidth="1"/>
    <col min="5110" max="5110" width="16.7109375" style="42" customWidth="1"/>
    <col min="5111" max="5111" width="14.42578125" style="42" customWidth="1"/>
    <col min="5112" max="5112" width="13.140625" style="42" customWidth="1"/>
    <col min="5113" max="5113" width="13.28515625" style="42" customWidth="1"/>
    <col min="5114" max="5114" width="11.85546875" style="42" customWidth="1"/>
    <col min="5115" max="5115" width="16" style="42" customWidth="1"/>
    <col min="5116" max="5116" width="12" style="42" customWidth="1"/>
    <col min="5117" max="5117" width="11.5703125" style="42" customWidth="1"/>
    <col min="5118" max="5118" width="11.7109375" style="42" customWidth="1"/>
    <col min="5119" max="5119" width="17.5703125" style="42" customWidth="1"/>
    <col min="5120" max="5120" width="6.42578125" style="42" customWidth="1"/>
    <col min="5121" max="5121" width="29.28515625" style="42" customWidth="1"/>
    <col min="5122" max="5122" width="18.85546875" style="42" customWidth="1"/>
    <col min="5123" max="5364" width="9.140625" style="42" customWidth="1"/>
    <col min="5365" max="5365" width="11.7109375" style="42" customWidth="1"/>
    <col min="5366" max="5366" width="16.7109375" style="42" customWidth="1"/>
    <col min="5367" max="5367" width="14.42578125" style="42" customWidth="1"/>
    <col min="5368" max="5368" width="13.140625" style="42" customWidth="1"/>
    <col min="5369" max="5369" width="13.28515625" style="42" customWidth="1"/>
    <col min="5370" max="5370" width="11.85546875" style="42" customWidth="1"/>
    <col min="5371" max="5371" width="16" style="42" customWidth="1"/>
    <col min="5372" max="5372" width="12" style="42" customWidth="1"/>
    <col min="5373" max="5373" width="11.5703125" style="42" customWidth="1"/>
    <col min="5374" max="5374" width="11.7109375" style="42" customWidth="1"/>
    <col min="5375" max="5375" width="17.5703125" style="42" customWidth="1"/>
    <col min="5376" max="5376" width="6.42578125" style="42" customWidth="1"/>
    <col min="5377" max="5377" width="29.28515625" style="42" customWidth="1"/>
    <col min="5378" max="5378" width="18.85546875" style="42" customWidth="1"/>
    <col min="5379" max="5620" width="9.140625" style="42" customWidth="1"/>
    <col min="5621" max="5621" width="11.7109375" style="42" customWidth="1"/>
    <col min="5622" max="5622" width="16.7109375" style="42" customWidth="1"/>
    <col min="5623" max="5623" width="14.42578125" style="42" customWidth="1"/>
    <col min="5624" max="5624" width="13.140625" style="42" customWidth="1"/>
    <col min="5625" max="5625" width="13.28515625" style="42" customWidth="1"/>
    <col min="5626" max="5626" width="11.85546875" style="42" customWidth="1"/>
    <col min="5627" max="5627" width="16" style="42" customWidth="1"/>
    <col min="5628" max="5628" width="12" style="42" customWidth="1"/>
    <col min="5629" max="5629" width="11.5703125" style="42" customWidth="1"/>
    <col min="5630" max="5630" width="11.7109375" style="42" customWidth="1"/>
    <col min="5631" max="5631" width="17.5703125" style="42" customWidth="1"/>
    <col min="5632" max="5632" width="6.42578125" style="42" customWidth="1"/>
    <col min="5633" max="5633" width="29.28515625" style="42" customWidth="1"/>
    <col min="5634" max="5634" width="18.85546875" style="42" customWidth="1"/>
    <col min="5635" max="5876" width="9.140625" style="42" customWidth="1"/>
    <col min="5877" max="5877" width="11.7109375" style="42" customWidth="1"/>
    <col min="5878" max="5878" width="16.7109375" style="42" customWidth="1"/>
    <col min="5879" max="5879" width="14.42578125" style="42" customWidth="1"/>
    <col min="5880" max="5880" width="13.140625" style="42" customWidth="1"/>
    <col min="5881" max="5881" width="13.28515625" style="42" customWidth="1"/>
    <col min="5882" max="5882" width="11.85546875" style="42" customWidth="1"/>
    <col min="5883" max="5883" width="16" style="42" customWidth="1"/>
    <col min="5884" max="5884" width="12" style="42" customWidth="1"/>
    <col min="5885" max="5885" width="11.5703125" style="42" customWidth="1"/>
    <col min="5886" max="5886" width="11.7109375" style="42" customWidth="1"/>
    <col min="5887" max="5887" width="17.5703125" style="42" customWidth="1"/>
    <col min="5888" max="5888" width="6.42578125" style="42" customWidth="1"/>
    <col min="5889" max="5889" width="29.28515625" style="42" customWidth="1"/>
    <col min="5890" max="5890" width="18.85546875" style="42" customWidth="1"/>
    <col min="5891" max="6132" width="9.140625" style="42" customWidth="1"/>
    <col min="6133" max="6133" width="11.7109375" style="42" customWidth="1"/>
    <col min="6134" max="6134" width="16.7109375" style="42" customWidth="1"/>
    <col min="6135" max="6135" width="14.42578125" style="42" customWidth="1"/>
    <col min="6136" max="6136" width="13.140625" style="42" customWidth="1"/>
    <col min="6137" max="6137" width="13.28515625" style="42" customWidth="1"/>
    <col min="6138" max="6138" width="11.85546875" style="42" customWidth="1"/>
    <col min="6139" max="6139" width="16" style="42" customWidth="1"/>
    <col min="6140" max="6140" width="12" style="42" customWidth="1"/>
    <col min="6141" max="6141" width="11.5703125" style="42" customWidth="1"/>
    <col min="6142" max="6142" width="11.7109375" style="42" customWidth="1"/>
    <col min="6143" max="6143" width="17.5703125" style="42" customWidth="1"/>
    <col min="6144" max="6144" width="6.42578125" style="42" customWidth="1"/>
    <col min="6145" max="6145" width="29.28515625" style="42" customWidth="1"/>
    <col min="6146" max="6146" width="18.85546875" style="42" customWidth="1"/>
    <col min="6147" max="6388" width="9.140625" style="42" customWidth="1"/>
    <col min="6389" max="6389" width="11.7109375" style="42" customWidth="1"/>
    <col min="6390" max="6390" width="16.7109375" style="42" customWidth="1"/>
    <col min="6391" max="6391" width="14.42578125" style="42" customWidth="1"/>
    <col min="6392" max="6392" width="13.140625" style="42" customWidth="1"/>
    <col min="6393" max="6393" width="13.28515625" style="42" customWidth="1"/>
    <col min="6394" max="6394" width="11.85546875" style="42" customWidth="1"/>
    <col min="6395" max="6395" width="16" style="42" customWidth="1"/>
    <col min="6396" max="6396" width="12" style="42" customWidth="1"/>
    <col min="6397" max="6397" width="11.5703125" style="42" customWidth="1"/>
    <col min="6398" max="6398" width="11.7109375" style="42" customWidth="1"/>
    <col min="6399" max="6399" width="17.5703125" style="42" customWidth="1"/>
    <col min="6400" max="6400" width="6.42578125" style="42" customWidth="1"/>
    <col min="6401" max="6401" width="29.28515625" style="42" customWidth="1"/>
    <col min="6402" max="6402" width="18.85546875" style="42" customWidth="1"/>
    <col min="6403" max="6644" width="9.140625" style="42" customWidth="1"/>
    <col min="6645" max="6645" width="11.7109375" style="42" customWidth="1"/>
    <col min="6646" max="6646" width="16.7109375" style="42" customWidth="1"/>
    <col min="6647" max="6647" width="14.42578125" style="42" customWidth="1"/>
    <col min="6648" max="6648" width="13.140625" style="42" customWidth="1"/>
    <col min="6649" max="6649" width="13.28515625" style="42" customWidth="1"/>
    <col min="6650" max="6650" width="11.85546875" style="42" customWidth="1"/>
    <col min="6651" max="6651" width="16" style="42" customWidth="1"/>
    <col min="6652" max="6652" width="12" style="42" customWidth="1"/>
    <col min="6653" max="6653" width="11.5703125" style="42" customWidth="1"/>
    <col min="6654" max="6654" width="11.7109375" style="42" customWidth="1"/>
    <col min="6655" max="6655" width="17.5703125" style="42" customWidth="1"/>
    <col min="6656" max="6656" width="6.42578125" style="42" customWidth="1"/>
    <col min="6657" max="6657" width="29.28515625" style="42" customWidth="1"/>
    <col min="6658" max="6658" width="18.85546875" style="42" customWidth="1"/>
    <col min="6659" max="6900" width="9.140625" style="42" customWidth="1"/>
    <col min="6901" max="6901" width="11.7109375" style="42" customWidth="1"/>
    <col min="6902" max="6902" width="16.7109375" style="42" customWidth="1"/>
    <col min="6903" max="6903" width="14.42578125" style="42" customWidth="1"/>
    <col min="6904" max="6904" width="13.140625" style="42" customWidth="1"/>
    <col min="6905" max="6905" width="13.28515625" style="42" customWidth="1"/>
    <col min="6906" max="6906" width="11.85546875" style="42" customWidth="1"/>
    <col min="6907" max="6907" width="16" style="42" customWidth="1"/>
    <col min="6908" max="6908" width="12" style="42" customWidth="1"/>
    <col min="6909" max="6909" width="11.5703125" style="42" customWidth="1"/>
    <col min="6910" max="6910" width="11.7109375" style="42" customWidth="1"/>
    <col min="6911" max="6911" width="17.5703125" style="42" customWidth="1"/>
    <col min="6912" max="6912" width="6.42578125" style="42" customWidth="1"/>
    <col min="6913" max="6913" width="29.28515625" style="42" customWidth="1"/>
    <col min="6914" max="6914" width="18.85546875" style="42" customWidth="1"/>
    <col min="6915" max="7156" width="9.140625" style="42" customWidth="1"/>
    <col min="7157" max="7157" width="11.7109375" style="42" customWidth="1"/>
    <col min="7158" max="7158" width="16.7109375" style="42" customWidth="1"/>
    <col min="7159" max="7159" width="14.42578125" style="42" customWidth="1"/>
    <col min="7160" max="7160" width="13.140625" style="42" customWidth="1"/>
    <col min="7161" max="7161" width="13.28515625" style="42" customWidth="1"/>
    <col min="7162" max="7162" width="11.85546875" style="42" customWidth="1"/>
    <col min="7163" max="7163" width="16" style="42" customWidth="1"/>
    <col min="7164" max="7164" width="12" style="42" customWidth="1"/>
    <col min="7165" max="7165" width="11.5703125" style="42" customWidth="1"/>
    <col min="7166" max="7166" width="11.7109375" style="42" customWidth="1"/>
    <col min="7167" max="7167" width="17.5703125" style="42" customWidth="1"/>
    <col min="7168" max="7168" width="6.42578125" style="42" customWidth="1"/>
    <col min="7169" max="7169" width="29.28515625" style="42" customWidth="1"/>
    <col min="7170" max="7170" width="18.85546875" style="42" customWidth="1"/>
    <col min="7171" max="7412" width="9.140625" style="42" customWidth="1"/>
    <col min="7413" max="7413" width="11.7109375" style="42" customWidth="1"/>
    <col min="7414" max="7414" width="16.7109375" style="42" customWidth="1"/>
    <col min="7415" max="7415" width="14.42578125" style="42" customWidth="1"/>
    <col min="7416" max="7416" width="13.140625" style="42" customWidth="1"/>
    <col min="7417" max="7417" width="13.28515625" style="42" customWidth="1"/>
    <col min="7418" max="7418" width="11.85546875" style="42" customWidth="1"/>
    <col min="7419" max="7419" width="16" style="42" customWidth="1"/>
    <col min="7420" max="7420" width="12" style="42" customWidth="1"/>
    <col min="7421" max="7421" width="11.5703125" style="42" customWidth="1"/>
    <col min="7422" max="7422" width="11.7109375" style="42" customWidth="1"/>
    <col min="7423" max="7423" width="17.5703125" style="42" customWidth="1"/>
    <col min="7424" max="7424" width="6.42578125" style="42" customWidth="1"/>
    <col min="7425" max="7425" width="29.28515625" style="42" customWidth="1"/>
    <col min="7426" max="7426" width="18.85546875" style="42" customWidth="1"/>
    <col min="7427" max="7668" width="9.140625" style="42" customWidth="1"/>
    <col min="7669" max="7669" width="11.7109375" style="42" customWidth="1"/>
    <col min="7670" max="7670" width="16.7109375" style="42" customWidth="1"/>
    <col min="7671" max="7671" width="14.42578125" style="42" customWidth="1"/>
    <col min="7672" max="7672" width="13.140625" style="42" customWidth="1"/>
    <col min="7673" max="7673" width="13.28515625" style="42" customWidth="1"/>
    <col min="7674" max="7674" width="11.85546875" style="42" customWidth="1"/>
    <col min="7675" max="7675" width="16" style="42" customWidth="1"/>
    <col min="7676" max="7676" width="12" style="42" customWidth="1"/>
    <col min="7677" max="7677" width="11.5703125" style="42" customWidth="1"/>
    <col min="7678" max="7678" width="11.7109375" style="42" customWidth="1"/>
    <col min="7679" max="7679" width="17.5703125" style="42" customWidth="1"/>
    <col min="7680" max="7680" width="6.42578125" style="42" customWidth="1"/>
    <col min="7681" max="7681" width="29.28515625" style="42" customWidth="1"/>
    <col min="7682" max="7682" width="18.85546875" style="42" customWidth="1"/>
    <col min="7683" max="7924" width="9.140625" style="42" customWidth="1"/>
    <col min="7925" max="7925" width="11.7109375" style="42" customWidth="1"/>
    <col min="7926" max="7926" width="16.7109375" style="42" customWidth="1"/>
    <col min="7927" max="7927" width="14.42578125" style="42" customWidth="1"/>
    <col min="7928" max="7928" width="13.140625" style="42" customWidth="1"/>
    <col min="7929" max="7929" width="13.28515625" style="42" customWidth="1"/>
    <col min="7930" max="7930" width="11.85546875" style="42" customWidth="1"/>
    <col min="7931" max="7931" width="16" style="42" customWidth="1"/>
    <col min="7932" max="7932" width="12" style="42" customWidth="1"/>
    <col min="7933" max="7933" width="11.5703125" style="42" customWidth="1"/>
    <col min="7934" max="7934" width="11.7109375" style="42" customWidth="1"/>
    <col min="7935" max="7935" width="17.5703125" style="42" customWidth="1"/>
    <col min="7936" max="7936" width="6.42578125" style="42" customWidth="1"/>
    <col min="7937" max="7937" width="29.28515625" style="42" customWidth="1"/>
    <col min="7938" max="7938" width="18.85546875" style="42" customWidth="1"/>
    <col min="7939" max="8180" width="9.140625" style="42" customWidth="1"/>
    <col min="8181" max="8181" width="11.7109375" style="42" customWidth="1"/>
    <col min="8182" max="8182" width="16.7109375" style="42" customWidth="1"/>
    <col min="8183" max="8183" width="14.42578125" style="42" customWidth="1"/>
    <col min="8184" max="8184" width="13.140625" style="42" customWidth="1"/>
    <col min="8185" max="8185" width="13.28515625" style="42" customWidth="1"/>
    <col min="8186" max="8186" width="11.85546875" style="42" customWidth="1"/>
    <col min="8187" max="8187" width="16" style="42" customWidth="1"/>
    <col min="8188" max="8188" width="12" style="42" customWidth="1"/>
    <col min="8189" max="8189" width="11.5703125" style="42" customWidth="1"/>
    <col min="8190" max="8190" width="11.7109375" style="42" customWidth="1"/>
    <col min="8191" max="8191" width="17.5703125" style="42" customWidth="1"/>
    <col min="8192" max="8192" width="6.42578125" style="42" customWidth="1"/>
    <col min="8193" max="8193" width="29.28515625" style="42" customWidth="1"/>
    <col min="8194" max="8194" width="18.85546875" style="42" customWidth="1"/>
    <col min="8195" max="8436" width="9.140625" style="42" customWidth="1"/>
    <col min="8437" max="8437" width="11.7109375" style="42" customWidth="1"/>
    <col min="8438" max="8438" width="16.7109375" style="42" customWidth="1"/>
    <col min="8439" max="8439" width="14.42578125" style="42" customWidth="1"/>
    <col min="8440" max="8440" width="13.140625" style="42" customWidth="1"/>
    <col min="8441" max="8441" width="13.28515625" style="42" customWidth="1"/>
    <col min="8442" max="8442" width="11.85546875" style="42" customWidth="1"/>
    <col min="8443" max="8443" width="16" style="42" customWidth="1"/>
    <col min="8444" max="8444" width="12" style="42" customWidth="1"/>
    <col min="8445" max="8445" width="11.5703125" style="42" customWidth="1"/>
    <col min="8446" max="8446" width="11.7109375" style="42" customWidth="1"/>
    <col min="8447" max="8447" width="17.5703125" style="42" customWidth="1"/>
    <col min="8448" max="8448" width="6.42578125" style="42" customWidth="1"/>
    <col min="8449" max="8449" width="29.28515625" style="42" customWidth="1"/>
    <col min="8450" max="8450" width="18.85546875" style="42" customWidth="1"/>
    <col min="8451" max="8692" width="9.140625" style="42" customWidth="1"/>
    <col min="8693" max="8693" width="11.7109375" style="42" customWidth="1"/>
    <col min="8694" max="8694" width="16.7109375" style="42" customWidth="1"/>
    <col min="8695" max="8695" width="14.42578125" style="42" customWidth="1"/>
    <col min="8696" max="8696" width="13.140625" style="42" customWidth="1"/>
    <col min="8697" max="8697" width="13.28515625" style="42" customWidth="1"/>
    <col min="8698" max="8698" width="11.85546875" style="42" customWidth="1"/>
    <col min="8699" max="8699" width="16" style="42" customWidth="1"/>
    <col min="8700" max="8700" width="12" style="42" customWidth="1"/>
    <col min="8701" max="8701" width="11.5703125" style="42" customWidth="1"/>
    <col min="8702" max="8702" width="11.7109375" style="42" customWidth="1"/>
    <col min="8703" max="8703" width="17.5703125" style="42" customWidth="1"/>
    <col min="8704" max="8704" width="6.42578125" style="42" customWidth="1"/>
    <col min="8705" max="8705" width="29.28515625" style="42" customWidth="1"/>
    <col min="8706" max="8706" width="18.85546875" style="42" customWidth="1"/>
    <col min="8707" max="8948" width="9.140625" style="42" customWidth="1"/>
    <col min="8949" max="8949" width="11.7109375" style="42" customWidth="1"/>
    <col min="8950" max="8950" width="16.7109375" style="42" customWidth="1"/>
    <col min="8951" max="8951" width="14.42578125" style="42" customWidth="1"/>
    <col min="8952" max="8952" width="13.140625" style="42" customWidth="1"/>
    <col min="8953" max="8953" width="13.28515625" style="42" customWidth="1"/>
    <col min="8954" max="8954" width="11.85546875" style="42" customWidth="1"/>
    <col min="8955" max="8955" width="16" style="42" customWidth="1"/>
    <col min="8956" max="8956" width="12" style="42" customWidth="1"/>
    <col min="8957" max="8957" width="11.5703125" style="42" customWidth="1"/>
    <col min="8958" max="8958" width="11.7109375" style="42" customWidth="1"/>
    <col min="8959" max="8959" width="17.5703125" style="42" customWidth="1"/>
    <col min="8960" max="8960" width="6.42578125" style="42" customWidth="1"/>
    <col min="8961" max="8961" width="29.28515625" style="42" customWidth="1"/>
    <col min="8962" max="8962" width="18.85546875" style="42" customWidth="1"/>
    <col min="8963" max="9204" width="9.140625" style="42" customWidth="1"/>
    <col min="9205" max="9205" width="11.7109375" style="42" customWidth="1"/>
    <col min="9206" max="9206" width="16.7109375" style="42" customWidth="1"/>
    <col min="9207" max="9207" width="14.42578125" style="42" customWidth="1"/>
    <col min="9208" max="9208" width="13.140625" style="42" customWidth="1"/>
    <col min="9209" max="9209" width="13.28515625" style="42" customWidth="1"/>
    <col min="9210" max="9210" width="11.85546875" style="42" customWidth="1"/>
    <col min="9211" max="9211" width="16" style="42" customWidth="1"/>
    <col min="9212" max="9212" width="12" style="42" customWidth="1"/>
    <col min="9213" max="9213" width="11.5703125" style="42" customWidth="1"/>
    <col min="9214" max="9214" width="11.7109375" style="42" customWidth="1"/>
    <col min="9215" max="9215" width="17.5703125" style="42" customWidth="1"/>
    <col min="9216" max="9216" width="6.42578125" style="42" customWidth="1"/>
    <col min="9217" max="9217" width="29.28515625" style="42" customWidth="1"/>
    <col min="9218" max="9218" width="18.85546875" style="42" customWidth="1"/>
    <col min="9219" max="9460" width="9.140625" style="42" customWidth="1"/>
    <col min="9461" max="9461" width="11.7109375" style="42" customWidth="1"/>
    <col min="9462" max="9462" width="16.7109375" style="42" customWidth="1"/>
    <col min="9463" max="9463" width="14.42578125" style="42" customWidth="1"/>
    <col min="9464" max="9464" width="13.140625" style="42" customWidth="1"/>
    <col min="9465" max="9465" width="13.28515625" style="42" customWidth="1"/>
    <col min="9466" max="9466" width="11.85546875" style="42" customWidth="1"/>
    <col min="9467" max="9467" width="16" style="42" customWidth="1"/>
    <col min="9468" max="9468" width="12" style="42" customWidth="1"/>
    <col min="9469" max="9469" width="11.5703125" style="42" customWidth="1"/>
    <col min="9470" max="9470" width="11.7109375" style="42" customWidth="1"/>
    <col min="9471" max="9471" width="17.5703125" style="42" customWidth="1"/>
    <col min="9472" max="9472" width="6.42578125" style="42" customWidth="1"/>
    <col min="9473" max="9473" width="29.28515625" style="42" customWidth="1"/>
    <col min="9474" max="9474" width="18.85546875" style="42" customWidth="1"/>
    <col min="9475" max="9716" width="9.140625" style="42" customWidth="1"/>
    <col min="9717" max="9717" width="11.7109375" style="42" customWidth="1"/>
    <col min="9718" max="9718" width="16.7109375" style="42" customWidth="1"/>
    <col min="9719" max="9719" width="14.42578125" style="42" customWidth="1"/>
    <col min="9720" max="9720" width="13.140625" style="42" customWidth="1"/>
    <col min="9721" max="9721" width="13.28515625" style="42" customWidth="1"/>
    <col min="9722" max="9722" width="11.85546875" style="42" customWidth="1"/>
    <col min="9723" max="9723" width="16" style="42" customWidth="1"/>
    <col min="9724" max="9724" width="12" style="42" customWidth="1"/>
    <col min="9725" max="9725" width="11.5703125" style="42" customWidth="1"/>
    <col min="9726" max="9726" width="11.7109375" style="42" customWidth="1"/>
    <col min="9727" max="9727" width="17.5703125" style="42" customWidth="1"/>
    <col min="9728" max="9728" width="6.42578125" style="42" customWidth="1"/>
    <col min="9729" max="9729" width="29.28515625" style="42" customWidth="1"/>
    <col min="9730" max="9730" width="18.85546875" style="42" customWidth="1"/>
    <col min="9731" max="9972" width="9.140625" style="42" customWidth="1"/>
    <col min="9973" max="9973" width="11.7109375" style="42" customWidth="1"/>
    <col min="9974" max="9974" width="16.7109375" style="42" customWidth="1"/>
    <col min="9975" max="9975" width="14.42578125" style="42" customWidth="1"/>
    <col min="9976" max="9976" width="13.140625" style="42" customWidth="1"/>
    <col min="9977" max="9977" width="13.28515625" style="42" customWidth="1"/>
    <col min="9978" max="9978" width="11.85546875" style="42" customWidth="1"/>
    <col min="9979" max="9979" width="16" style="42" customWidth="1"/>
    <col min="9980" max="9980" width="12" style="42" customWidth="1"/>
    <col min="9981" max="9981" width="11.5703125" style="42" customWidth="1"/>
    <col min="9982" max="9982" width="11.7109375" style="42" customWidth="1"/>
    <col min="9983" max="9983" width="17.5703125" style="42" customWidth="1"/>
    <col min="9984" max="9984" width="6.42578125" style="42" customWidth="1"/>
    <col min="9985" max="9985" width="29.28515625" style="42" customWidth="1"/>
    <col min="9986" max="9986" width="18.85546875" style="42" customWidth="1"/>
    <col min="9987" max="10228" width="9.140625" style="42" customWidth="1"/>
    <col min="10229" max="10229" width="11.7109375" style="42" customWidth="1"/>
    <col min="10230" max="10230" width="16.7109375" style="42" customWidth="1"/>
    <col min="10231" max="10231" width="14.42578125" style="42" customWidth="1"/>
    <col min="10232" max="10232" width="13.140625" style="42" customWidth="1"/>
    <col min="10233" max="10233" width="13.28515625" style="42" customWidth="1"/>
    <col min="10234" max="10234" width="11.85546875" style="42" customWidth="1"/>
    <col min="10235" max="10235" width="16" style="42" customWidth="1"/>
    <col min="10236" max="10236" width="12" style="42" customWidth="1"/>
    <col min="10237" max="10237" width="11.5703125" style="42" customWidth="1"/>
    <col min="10238" max="10238" width="11.7109375" style="42" customWidth="1"/>
    <col min="10239" max="10239" width="17.5703125" style="42" customWidth="1"/>
    <col min="10240" max="10240" width="6.42578125" style="42" customWidth="1"/>
    <col min="10241" max="10241" width="29.28515625" style="42" customWidth="1"/>
    <col min="10242" max="10242" width="18.85546875" style="42" customWidth="1"/>
    <col min="10243" max="10484" width="9.140625" style="42" customWidth="1"/>
    <col min="10485" max="10485" width="11.7109375" style="42" customWidth="1"/>
    <col min="10486" max="10486" width="16.7109375" style="42" customWidth="1"/>
    <col min="10487" max="10487" width="14.42578125" style="42" customWidth="1"/>
    <col min="10488" max="10488" width="13.140625" style="42" customWidth="1"/>
    <col min="10489" max="10489" width="13.28515625" style="42" customWidth="1"/>
    <col min="10490" max="10490" width="11.85546875" style="42" customWidth="1"/>
    <col min="10491" max="10491" width="16" style="42" customWidth="1"/>
    <col min="10492" max="10492" width="12" style="42" customWidth="1"/>
    <col min="10493" max="10493" width="11.5703125" style="42" customWidth="1"/>
    <col min="10494" max="10494" width="11.7109375" style="42" customWidth="1"/>
    <col min="10495" max="10495" width="17.5703125" style="42" customWidth="1"/>
    <col min="10496" max="10496" width="6.42578125" style="42" customWidth="1"/>
    <col min="10497" max="10497" width="29.28515625" style="42" customWidth="1"/>
    <col min="10498" max="10498" width="18.85546875" style="42" customWidth="1"/>
    <col min="10499" max="10740" width="9.140625" style="42" customWidth="1"/>
    <col min="10741" max="10741" width="11.7109375" style="42" customWidth="1"/>
    <col min="10742" max="10742" width="16.7109375" style="42" customWidth="1"/>
    <col min="10743" max="10743" width="14.42578125" style="42" customWidth="1"/>
    <col min="10744" max="10744" width="13.140625" style="42" customWidth="1"/>
    <col min="10745" max="10745" width="13.28515625" style="42" customWidth="1"/>
    <col min="10746" max="10746" width="11.85546875" style="42" customWidth="1"/>
    <col min="10747" max="10747" width="16" style="42" customWidth="1"/>
    <col min="10748" max="10748" width="12" style="42" customWidth="1"/>
    <col min="10749" max="10749" width="11.5703125" style="42" customWidth="1"/>
    <col min="10750" max="10750" width="11.7109375" style="42" customWidth="1"/>
    <col min="10751" max="10751" width="17.5703125" style="42" customWidth="1"/>
    <col min="10752" max="10752" width="6.42578125" style="42" customWidth="1"/>
    <col min="10753" max="10753" width="29.28515625" style="42" customWidth="1"/>
    <col min="10754" max="10754" width="18.85546875" style="42" customWidth="1"/>
    <col min="10755" max="10996" width="9.140625" style="42" customWidth="1"/>
    <col min="10997" max="10997" width="11.7109375" style="42" customWidth="1"/>
    <col min="10998" max="10998" width="16.7109375" style="42" customWidth="1"/>
    <col min="10999" max="10999" width="14.42578125" style="42" customWidth="1"/>
    <col min="11000" max="11000" width="13.140625" style="42" customWidth="1"/>
    <col min="11001" max="11001" width="13.28515625" style="42" customWidth="1"/>
    <col min="11002" max="11002" width="11.85546875" style="42" customWidth="1"/>
    <col min="11003" max="11003" width="16" style="42" customWidth="1"/>
    <col min="11004" max="11004" width="12" style="42" customWidth="1"/>
    <col min="11005" max="11005" width="11.5703125" style="42" customWidth="1"/>
    <col min="11006" max="11006" width="11.7109375" style="42" customWidth="1"/>
    <col min="11007" max="11007" width="17.5703125" style="42" customWidth="1"/>
    <col min="11008" max="11008" width="6.42578125" style="42" customWidth="1"/>
    <col min="11009" max="11009" width="29.28515625" style="42" customWidth="1"/>
    <col min="11010" max="11010" width="18.85546875" style="42" customWidth="1"/>
    <col min="11011" max="11252" width="9.140625" style="42" customWidth="1"/>
    <col min="11253" max="11253" width="11.7109375" style="42" customWidth="1"/>
    <col min="11254" max="11254" width="16.7109375" style="42" customWidth="1"/>
    <col min="11255" max="11255" width="14.42578125" style="42" customWidth="1"/>
    <col min="11256" max="11256" width="13.140625" style="42" customWidth="1"/>
    <col min="11257" max="11257" width="13.28515625" style="42" customWidth="1"/>
    <col min="11258" max="11258" width="11.85546875" style="42" customWidth="1"/>
    <col min="11259" max="11259" width="16" style="42" customWidth="1"/>
    <col min="11260" max="11260" width="12" style="42" customWidth="1"/>
    <col min="11261" max="11261" width="11.5703125" style="42" customWidth="1"/>
    <col min="11262" max="11262" width="11.7109375" style="42" customWidth="1"/>
    <col min="11263" max="11263" width="17.5703125" style="42" customWidth="1"/>
    <col min="11264" max="11264" width="6.42578125" style="42" customWidth="1"/>
    <col min="11265" max="11265" width="29.28515625" style="42" customWidth="1"/>
    <col min="11266" max="11266" width="18.85546875" style="42" customWidth="1"/>
    <col min="11267" max="11508" width="9.140625" style="42" customWidth="1"/>
    <col min="11509" max="11509" width="11.7109375" style="42" customWidth="1"/>
    <col min="11510" max="11510" width="16.7109375" style="42" customWidth="1"/>
    <col min="11511" max="11511" width="14.42578125" style="42" customWidth="1"/>
    <col min="11512" max="11512" width="13.140625" style="42" customWidth="1"/>
    <col min="11513" max="11513" width="13.28515625" style="42" customWidth="1"/>
    <col min="11514" max="11514" width="11.85546875" style="42" customWidth="1"/>
    <col min="11515" max="11515" width="16" style="42" customWidth="1"/>
    <col min="11516" max="11516" width="12" style="42" customWidth="1"/>
    <col min="11517" max="11517" width="11.5703125" style="42" customWidth="1"/>
    <col min="11518" max="11518" width="11.7109375" style="42" customWidth="1"/>
    <col min="11519" max="11519" width="17.5703125" style="42" customWidth="1"/>
    <col min="11520" max="11520" width="6.42578125" style="42" customWidth="1"/>
    <col min="11521" max="11521" width="29.28515625" style="42" customWidth="1"/>
    <col min="11522" max="11522" width="18.85546875" style="42" customWidth="1"/>
    <col min="11523" max="11764" width="9.140625" style="42" customWidth="1"/>
    <col min="11765" max="11765" width="11.7109375" style="42" customWidth="1"/>
    <col min="11766" max="11766" width="16.7109375" style="42" customWidth="1"/>
    <col min="11767" max="11767" width="14.42578125" style="42" customWidth="1"/>
    <col min="11768" max="11768" width="13.140625" style="42" customWidth="1"/>
    <col min="11769" max="11769" width="13.28515625" style="42" customWidth="1"/>
    <col min="11770" max="11770" width="11.85546875" style="42" customWidth="1"/>
    <col min="11771" max="11771" width="16" style="42" customWidth="1"/>
    <col min="11772" max="11772" width="12" style="42" customWidth="1"/>
    <col min="11773" max="11773" width="11.5703125" style="42" customWidth="1"/>
    <col min="11774" max="11774" width="11.7109375" style="42" customWidth="1"/>
    <col min="11775" max="11775" width="17.5703125" style="42" customWidth="1"/>
    <col min="11776" max="11776" width="6.42578125" style="42" customWidth="1"/>
    <col min="11777" max="11777" width="29.28515625" style="42" customWidth="1"/>
    <col min="11778" max="11778" width="18.85546875" style="42" customWidth="1"/>
    <col min="11779" max="12020" width="9.140625" style="42" customWidth="1"/>
    <col min="12021" max="12021" width="11.7109375" style="42" customWidth="1"/>
    <col min="12022" max="12022" width="16.7109375" style="42" customWidth="1"/>
    <col min="12023" max="12023" width="14.42578125" style="42" customWidth="1"/>
    <col min="12024" max="12024" width="13.140625" style="42" customWidth="1"/>
    <col min="12025" max="12025" width="13.28515625" style="42" customWidth="1"/>
    <col min="12026" max="12026" width="11.85546875" style="42" customWidth="1"/>
    <col min="12027" max="12027" width="16" style="42" customWidth="1"/>
    <col min="12028" max="12028" width="12" style="42" customWidth="1"/>
    <col min="12029" max="12029" width="11.5703125" style="42" customWidth="1"/>
    <col min="12030" max="12030" width="11.7109375" style="42" customWidth="1"/>
    <col min="12031" max="12031" width="17.5703125" style="42" customWidth="1"/>
    <col min="12032" max="12032" width="6.42578125" style="42" customWidth="1"/>
    <col min="12033" max="12033" width="29.28515625" style="42" customWidth="1"/>
    <col min="12034" max="12034" width="18.85546875" style="42" customWidth="1"/>
    <col min="12035" max="12276" width="9.140625" style="42" customWidth="1"/>
    <col min="12277" max="12277" width="11.7109375" style="42" customWidth="1"/>
    <col min="12278" max="12278" width="16.7109375" style="42" customWidth="1"/>
    <col min="12279" max="12279" width="14.42578125" style="42" customWidth="1"/>
    <col min="12280" max="12280" width="13.140625" style="42" customWidth="1"/>
    <col min="12281" max="12281" width="13.28515625" style="42" customWidth="1"/>
    <col min="12282" max="12282" width="11.85546875" style="42" customWidth="1"/>
    <col min="12283" max="12283" width="16" style="42" customWidth="1"/>
    <col min="12284" max="12284" width="12" style="42" customWidth="1"/>
    <col min="12285" max="12285" width="11.5703125" style="42" customWidth="1"/>
    <col min="12286" max="12286" width="11.7109375" style="42" customWidth="1"/>
    <col min="12287" max="12287" width="17.5703125" style="42" customWidth="1"/>
    <col min="12288" max="12288" width="6.42578125" style="42" customWidth="1"/>
    <col min="12289" max="12289" width="29.28515625" style="42" customWidth="1"/>
    <col min="12290" max="12290" width="18.85546875" style="42" customWidth="1"/>
    <col min="12291" max="12532" width="9.140625" style="42" customWidth="1"/>
    <col min="12533" max="12533" width="11.7109375" style="42" customWidth="1"/>
    <col min="12534" max="12534" width="16.7109375" style="42" customWidth="1"/>
    <col min="12535" max="12535" width="14.42578125" style="42" customWidth="1"/>
    <col min="12536" max="12536" width="13.140625" style="42" customWidth="1"/>
    <col min="12537" max="12537" width="13.28515625" style="42" customWidth="1"/>
    <col min="12538" max="12538" width="11.85546875" style="42" customWidth="1"/>
    <col min="12539" max="12539" width="16" style="42" customWidth="1"/>
    <col min="12540" max="12540" width="12" style="42" customWidth="1"/>
    <col min="12541" max="12541" width="11.5703125" style="42" customWidth="1"/>
    <col min="12542" max="12542" width="11.7109375" style="42" customWidth="1"/>
    <col min="12543" max="12543" width="17.5703125" style="42" customWidth="1"/>
    <col min="12544" max="12544" width="6.42578125" style="42" customWidth="1"/>
    <col min="12545" max="12545" width="29.28515625" style="42" customWidth="1"/>
    <col min="12546" max="12546" width="18.85546875" style="42" customWidth="1"/>
    <col min="12547" max="12788" width="9.140625" style="42" customWidth="1"/>
    <col min="12789" max="12789" width="11.7109375" style="42" customWidth="1"/>
    <col min="12790" max="12790" width="16.7109375" style="42" customWidth="1"/>
    <col min="12791" max="12791" width="14.42578125" style="42" customWidth="1"/>
    <col min="12792" max="12792" width="13.140625" style="42" customWidth="1"/>
    <col min="12793" max="12793" width="13.28515625" style="42" customWidth="1"/>
    <col min="12794" max="12794" width="11.85546875" style="42" customWidth="1"/>
    <col min="12795" max="12795" width="16" style="42" customWidth="1"/>
    <col min="12796" max="12796" width="12" style="42" customWidth="1"/>
    <col min="12797" max="12797" width="11.5703125" style="42" customWidth="1"/>
    <col min="12798" max="12798" width="11.7109375" style="42" customWidth="1"/>
    <col min="12799" max="12799" width="17.5703125" style="42" customWidth="1"/>
    <col min="12800" max="12800" width="6.42578125" style="42" customWidth="1"/>
    <col min="12801" max="12801" width="29.28515625" style="42" customWidth="1"/>
    <col min="12802" max="12802" width="18.85546875" style="42" customWidth="1"/>
    <col min="12803" max="13044" width="9.140625" style="42" customWidth="1"/>
    <col min="13045" max="13045" width="11.7109375" style="42" customWidth="1"/>
    <col min="13046" max="13046" width="16.7109375" style="42" customWidth="1"/>
    <col min="13047" max="13047" width="14.42578125" style="42" customWidth="1"/>
    <col min="13048" max="13048" width="13.140625" style="42" customWidth="1"/>
    <col min="13049" max="13049" width="13.28515625" style="42" customWidth="1"/>
    <col min="13050" max="13050" width="11.85546875" style="42" customWidth="1"/>
    <col min="13051" max="13051" width="16" style="42" customWidth="1"/>
    <col min="13052" max="13052" width="12" style="42" customWidth="1"/>
    <col min="13053" max="13053" width="11.5703125" style="42" customWidth="1"/>
    <col min="13054" max="13054" width="11.7109375" style="42" customWidth="1"/>
    <col min="13055" max="13055" width="17.5703125" style="42" customWidth="1"/>
    <col min="13056" max="13056" width="6.42578125" style="42" customWidth="1"/>
    <col min="13057" max="13057" width="29.28515625" style="42" customWidth="1"/>
    <col min="13058" max="13058" width="18.85546875" style="42" customWidth="1"/>
    <col min="13059" max="13300" width="9.140625" style="42" customWidth="1"/>
    <col min="13301" max="13301" width="11.7109375" style="42" customWidth="1"/>
    <col min="13302" max="13302" width="16.7109375" style="42" customWidth="1"/>
    <col min="13303" max="13303" width="14.42578125" style="42" customWidth="1"/>
    <col min="13304" max="13304" width="13.140625" style="42" customWidth="1"/>
    <col min="13305" max="13305" width="13.28515625" style="42" customWidth="1"/>
    <col min="13306" max="13306" width="11.85546875" style="42" customWidth="1"/>
    <col min="13307" max="13307" width="16" style="42" customWidth="1"/>
    <col min="13308" max="13308" width="12" style="42" customWidth="1"/>
    <col min="13309" max="13309" width="11.5703125" style="42" customWidth="1"/>
    <col min="13310" max="13310" width="11.7109375" style="42" customWidth="1"/>
    <col min="13311" max="13311" width="17.5703125" style="42" customWidth="1"/>
    <col min="13312" max="13312" width="6.42578125" style="42" customWidth="1"/>
    <col min="13313" max="13313" width="29.28515625" style="42" customWidth="1"/>
    <col min="13314" max="13314" width="18.85546875" style="42" customWidth="1"/>
    <col min="13315" max="13556" width="9.140625" style="42" customWidth="1"/>
    <col min="13557" max="13557" width="11.7109375" style="42" customWidth="1"/>
    <col min="13558" max="13558" width="16.7109375" style="42" customWidth="1"/>
    <col min="13559" max="13559" width="14.42578125" style="42" customWidth="1"/>
    <col min="13560" max="13560" width="13.140625" style="42" customWidth="1"/>
    <col min="13561" max="13561" width="13.28515625" style="42" customWidth="1"/>
    <col min="13562" max="13562" width="11.85546875" style="42" customWidth="1"/>
    <col min="13563" max="13563" width="16" style="42" customWidth="1"/>
    <col min="13564" max="13564" width="12" style="42" customWidth="1"/>
    <col min="13565" max="13565" width="11.5703125" style="42" customWidth="1"/>
    <col min="13566" max="13566" width="11.7109375" style="42" customWidth="1"/>
    <col min="13567" max="13567" width="17.5703125" style="42" customWidth="1"/>
    <col min="13568" max="13568" width="6.42578125" style="42" customWidth="1"/>
    <col min="13569" max="13569" width="29.28515625" style="42" customWidth="1"/>
    <col min="13570" max="13570" width="18.85546875" style="42" customWidth="1"/>
    <col min="13571" max="13812" width="9.140625" style="42" customWidth="1"/>
    <col min="13813" max="13813" width="11.7109375" style="42" customWidth="1"/>
    <col min="13814" max="13814" width="16.7109375" style="42" customWidth="1"/>
    <col min="13815" max="13815" width="14.42578125" style="42" customWidth="1"/>
    <col min="13816" max="13816" width="13.140625" style="42" customWidth="1"/>
    <col min="13817" max="13817" width="13.28515625" style="42" customWidth="1"/>
    <col min="13818" max="13818" width="11.85546875" style="42" customWidth="1"/>
    <col min="13819" max="13819" width="16" style="42" customWidth="1"/>
    <col min="13820" max="13820" width="12" style="42" customWidth="1"/>
    <col min="13821" max="13821" width="11.5703125" style="42" customWidth="1"/>
    <col min="13822" max="13822" width="11.7109375" style="42" customWidth="1"/>
    <col min="13823" max="13823" width="17.5703125" style="42" customWidth="1"/>
    <col min="13824" max="13824" width="6.42578125" style="42" customWidth="1"/>
    <col min="13825" max="13825" width="29.28515625" style="42" customWidth="1"/>
    <col min="13826" max="13826" width="18.85546875" style="42" customWidth="1"/>
    <col min="13827" max="14068" width="9.140625" style="42" customWidth="1"/>
    <col min="14069" max="14069" width="11.7109375" style="42" customWidth="1"/>
    <col min="14070" max="14070" width="16.7109375" style="42" customWidth="1"/>
    <col min="14071" max="14071" width="14.42578125" style="42" customWidth="1"/>
    <col min="14072" max="14072" width="13.140625" style="42" customWidth="1"/>
    <col min="14073" max="14073" width="13.28515625" style="42" customWidth="1"/>
    <col min="14074" max="14074" width="11.85546875" style="42" customWidth="1"/>
    <col min="14075" max="14075" width="16" style="42" customWidth="1"/>
    <col min="14076" max="14076" width="12" style="42" customWidth="1"/>
    <col min="14077" max="14077" width="11.5703125" style="42" customWidth="1"/>
    <col min="14078" max="14078" width="11.7109375" style="42" customWidth="1"/>
    <col min="14079" max="14079" width="17.5703125" style="42" customWidth="1"/>
    <col min="14080" max="14080" width="6.42578125" style="42" customWidth="1"/>
    <col min="14081" max="14081" width="29.28515625" style="42" customWidth="1"/>
    <col min="14082" max="14082" width="18.85546875" style="42" customWidth="1"/>
    <col min="14083" max="14324" width="9.140625" style="42" customWidth="1"/>
    <col min="14325" max="14325" width="11.7109375" style="42" customWidth="1"/>
    <col min="14326" max="14326" width="16.7109375" style="42" customWidth="1"/>
    <col min="14327" max="14327" width="14.42578125" style="42" customWidth="1"/>
    <col min="14328" max="14328" width="13.140625" style="42" customWidth="1"/>
    <col min="14329" max="14329" width="13.28515625" style="42" customWidth="1"/>
    <col min="14330" max="14330" width="11.85546875" style="42" customWidth="1"/>
    <col min="14331" max="14331" width="16" style="42" customWidth="1"/>
    <col min="14332" max="14332" width="12" style="42" customWidth="1"/>
    <col min="14333" max="14333" width="11.5703125" style="42" customWidth="1"/>
    <col min="14334" max="14334" width="11.7109375" style="42" customWidth="1"/>
    <col min="14335" max="14335" width="17.5703125" style="42" customWidth="1"/>
    <col min="14336" max="14336" width="6.42578125" style="42" customWidth="1"/>
    <col min="14337" max="14337" width="29.28515625" style="42" customWidth="1"/>
    <col min="14338" max="14338" width="18.85546875" style="42" customWidth="1"/>
    <col min="14339" max="14580" width="9.140625" style="42" customWidth="1"/>
    <col min="14581" max="14581" width="11.7109375" style="42" customWidth="1"/>
    <col min="14582" max="14582" width="16.7109375" style="42" customWidth="1"/>
    <col min="14583" max="14583" width="14.42578125" style="42" customWidth="1"/>
    <col min="14584" max="14584" width="13.140625" style="42" customWidth="1"/>
    <col min="14585" max="14585" width="13.28515625" style="42" customWidth="1"/>
    <col min="14586" max="14586" width="11.85546875" style="42" customWidth="1"/>
    <col min="14587" max="14587" width="16" style="42" customWidth="1"/>
    <col min="14588" max="14588" width="12" style="42" customWidth="1"/>
    <col min="14589" max="14589" width="11.5703125" style="42" customWidth="1"/>
    <col min="14590" max="14590" width="11.7109375" style="42" customWidth="1"/>
    <col min="14591" max="14591" width="17.5703125" style="42" customWidth="1"/>
    <col min="14592" max="14592" width="6.42578125" style="42" customWidth="1"/>
    <col min="14593" max="14593" width="29.28515625" style="42" customWidth="1"/>
    <col min="14594" max="14594" width="18.85546875" style="42" customWidth="1"/>
    <col min="14595" max="14836" width="9.140625" style="42" customWidth="1"/>
    <col min="14837" max="14837" width="11.7109375" style="42" customWidth="1"/>
    <col min="14838" max="14838" width="16.7109375" style="42" customWidth="1"/>
    <col min="14839" max="14839" width="14.42578125" style="42" customWidth="1"/>
    <col min="14840" max="14840" width="13.140625" style="42" customWidth="1"/>
    <col min="14841" max="14841" width="13.28515625" style="42" customWidth="1"/>
    <col min="14842" max="14842" width="11.85546875" style="42" customWidth="1"/>
    <col min="14843" max="14843" width="16" style="42" customWidth="1"/>
    <col min="14844" max="14844" width="12" style="42" customWidth="1"/>
    <col min="14845" max="14845" width="11.5703125" style="42" customWidth="1"/>
    <col min="14846" max="14846" width="11.7109375" style="42" customWidth="1"/>
    <col min="14847" max="14847" width="17.5703125" style="42" customWidth="1"/>
    <col min="14848" max="14848" width="6.42578125" style="42" customWidth="1"/>
    <col min="14849" max="14849" width="29.28515625" style="42" customWidth="1"/>
    <col min="14850" max="14850" width="18.85546875" style="42" customWidth="1"/>
    <col min="14851" max="15092" width="9.140625" style="42" customWidth="1"/>
    <col min="15093" max="15093" width="11.7109375" style="42" customWidth="1"/>
    <col min="15094" max="15094" width="16.7109375" style="42" customWidth="1"/>
    <col min="15095" max="15095" width="14.42578125" style="42" customWidth="1"/>
    <col min="15096" max="15096" width="13.140625" style="42" customWidth="1"/>
    <col min="15097" max="15097" width="13.28515625" style="42" customWidth="1"/>
    <col min="15098" max="15098" width="11.85546875" style="42" customWidth="1"/>
    <col min="15099" max="15099" width="16" style="42" customWidth="1"/>
    <col min="15100" max="15100" width="12" style="42" customWidth="1"/>
    <col min="15101" max="15101" width="11.5703125" style="42" customWidth="1"/>
    <col min="15102" max="15102" width="11.7109375" style="42" customWidth="1"/>
    <col min="15103" max="15103" width="17.5703125" style="42" customWidth="1"/>
    <col min="15104" max="15104" width="6.42578125" style="42" customWidth="1"/>
    <col min="15105" max="15105" width="29.28515625" style="42" customWidth="1"/>
    <col min="15106" max="15106" width="18.85546875" style="42" customWidth="1"/>
    <col min="15107" max="15348" width="9.140625" style="42" customWidth="1"/>
    <col min="15349" max="15349" width="11.7109375" style="42" customWidth="1"/>
    <col min="15350" max="15350" width="16.7109375" style="42" customWidth="1"/>
    <col min="15351" max="15351" width="14.42578125" style="42" customWidth="1"/>
    <col min="15352" max="15352" width="13.140625" style="42" customWidth="1"/>
    <col min="15353" max="15353" width="13.28515625" style="42" customWidth="1"/>
    <col min="15354" max="15354" width="11.85546875" style="42" customWidth="1"/>
    <col min="15355" max="15355" width="16" style="42" customWidth="1"/>
    <col min="15356" max="15356" width="12" style="42" customWidth="1"/>
    <col min="15357" max="15357" width="11.5703125" style="42" customWidth="1"/>
    <col min="15358" max="15358" width="11.7109375" style="42" customWidth="1"/>
    <col min="15359" max="15359" width="17.5703125" style="42" customWidth="1"/>
    <col min="15360" max="15360" width="6.42578125" style="42" customWidth="1"/>
    <col min="15361" max="15361" width="29.28515625" style="42" customWidth="1"/>
    <col min="15362" max="15362" width="18.85546875" style="42" customWidth="1"/>
    <col min="15363" max="15604" width="9.140625" style="42" customWidth="1"/>
    <col min="15605" max="15605" width="11.7109375" style="42" customWidth="1"/>
    <col min="15606" max="15606" width="16.7109375" style="42" customWidth="1"/>
    <col min="15607" max="15607" width="14.42578125" style="42" customWidth="1"/>
    <col min="15608" max="15608" width="13.140625" style="42" customWidth="1"/>
    <col min="15609" max="15609" width="13.28515625" style="42" customWidth="1"/>
    <col min="15610" max="15610" width="11.85546875" style="42" customWidth="1"/>
    <col min="15611" max="15611" width="16" style="42" customWidth="1"/>
    <col min="15612" max="15612" width="12" style="42" customWidth="1"/>
    <col min="15613" max="15613" width="11.5703125" style="42" customWidth="1"/>
    <col min="15614" max="15614" width="11.7109375" style="42" customWidth="1"/>
    <col min="15615" max="15615" width="17.5703125" style="42" customWidth="1"/>
    <col min="15616" max="15616" width="6.42578125" style="42" customWidth="1"/>
    <col min="15617" max="15617" width="29.28515625" style="42" customWidth="1"/>
    <col min="15618" max="15618" width="18.85546875" style="42" customWidth="1"/>
    <col min="15619" max="15860" width="9.140625" style="42" customWidth="1"/>
    <col min="15861" max="15861" width="11.7109375" style="42" customWidth="1"/>
    <col min="15862" max="15862" width="16.7109375" style="42" customWidth="1"/>
    <col min="15863" max="15863" width="14.42578125" style="42" customWidth="1"/>
    <col min="15864" max="15864" width="13.140625" style="42" customWidth="1"/>
    <col min="15865" max="15865" width="13.28515625" style="42" customWidth="1"/>
    <col min="15866" max="15866" width="11.85546875" style="42" customWidth="1"/>
    <col min="15867" max="15867" width="16" style="42" customWidth="1"/>
    <col min="15868" max="15868" width="12" style="42" customWidth="1"/>
    <col min="15869" max="15869" width="11.5703125" style="42" customWidth="1"/>
    <col min="15870" max="15870" width="11.7109375" style="42" customWidth="1"/>
    <col min="15871" max="15871" width="17.5703125" style="42" customWidth="1"/>
    <col min="15872" max="15872" width="6.42578125" style="42" customWidth="1"/>
    <col min="15873" max="15873" width="29.28515625" style="42" customWidth="1"/>
    <col min="15874" max="15874" width="18.85546875" style="42" customWidth="1"/>
    <col min="15875" max="16116" width="9.140625" style="42" customWidth="1"/>
    <col min="16117" max="16117" width="11.7109375" style="42" customWidth="1"/>
    <col min="16118" max="16118" width="16.7109375" style="42" customWidth="1"/>
    <col min="16119" max="16119" width="14.42578125" style="42" customWidth="1"/>
    <col min="16120" max="16120" width="13.140625" style="42" customWidth="1"/>
    <col min="16121" max="16121" width="13.28515625" style="42" customWidth="1"/>
    <col min="16122" max="16122" width="11.85546875" style="42" customWidth="1"/>
    <col min="16123" max="16123" width="16" style="42" customWidth="1"/>
    <col min="16124" max="16124" width="12" style="42" customWidth="1"/>
    <col min="16125" max="16125" width="11.5703125" style="42" customWidth="1"/>
    <col min="16126" max="16126" width="11.7109375" style="42" customWidth="1"/>
    <col min="16127" max="16127" width="17.5703125" style="42" customWidth="1"/>
    <col min="16128" max="16128" width="6.42578125" style="42" customWidth="1"/>
    <col min="16129" max="16129" width="29.28515625" style="42" customWidth="1"/>
    <col min="16130" max="16130" width="18.85546875" style="42" customWidth="1"/>
    <col min="16131" max="16384" width="9.140625" style="42" customWidth="1"/>
  </cols>
  <sheetData>
    <row r="1" spans="1:19" x14ac:dyDescent="0.2">
      <c r="K1" s="42" t="s">
        <v>629</v>
      </c>
    </row>
    <row r="2" spans="1:19" customFormat="1" ht="56.25" customHeight="1" x14ac:dyDescent="0.25">
      <c r="A2" s="290"/>
      <c r="B2" s="717" t="s">
        <v>630</v>
      </c>
      <c r="C2" s="717"/>
      <c r="D2" s="717"/>
      <c r="E2" s="717"/>
      <c r="F2" s="717"/>
      <c r="G2" s="717"/>
      <c r="H2" s="717"/>
      <c r="I2" s="717"/>
      <c r="J2" s="717"/>
      <c r="K2" s="717"/>
      <c r="L2" s="424"/>
      <c r="M2" s="421"/>
      <c r="N2" s="421"/>
      <c r="O2" s="421"/>
      <c r="P2" s="42"/>
      <c r="Q2" s="42"/>
      <c r="R2" s="42"/>
      <c r="S2" s="42"/>
    </row>
    <row r="3" spans="1:19" customFormat="1" ht="20.25" x14ac:dyDescent="0.3">
      <c r="A3" s="290"/>
      <c r="B3" s="718" t="s">
        <v>631</v>
      </c>
      <c r="C3" s="718"/>
      <c r="D3" s="718"/>
      <c r="E3" s="718"/>
      <c r="F3" s="718"/>
      <c r="G3" s="718"/>
      <c r="H3" s="718"/>
      <c r="I3" s="718"/>
      <c r="J3" s="718"/>
      <c r="K3" s="718"/>
      <c r="L3" s="425"/>
      <c r="M3" s="426"/>
      <c r="N3" s="427"/>
      <c r="O3" s="427"/>
      <c r="P3" s="42"/>
      <c r="Q3" s="42"/>
      <c r="R3" s="42"/>
      <c r="S3" s="42"/>
    </row>
    <row r="4" spans="1:19" s="434" customFormat="1" ht="34.5" customHeight="1" x14ac:dyDescent="0.25">
      <c r="A4" s="428"/>
      <c r="B4" s="706" t="s">
        <v>632</v>
      </c>
      <c r="C4" s="429"/>
      <c r="D4" s="429" t="s">
        <v>633</v>
      </c>
      <c r="E4" s="430" t="s">
        <v>634</v>
      </c>
      <c r="F4" s="707" t="s">
        <v>635</v>
      </c>
      <c r="G4" s="708" t="s">
        <v>636</v>
      </c>
      <c r="H4" s="430" t="s">
        <v>637</v>
      </c>
      <c r="I4" s="430" t="s">
        <v>638</v>
      </c>
      <c r="J4" s="709" t="s">
        <v>639</v>
      </c>
      <c r="K4" s="430" t="s">
        <v>640</v>
      </c>
      <c r="L4" s="432"/>
      <c r="M4" s="433"/>
      <c r="N4" s="433"/>
      <c r="O4" s="433"/>
    </row>
    <row r="5" spans="1:19" s="438" customFormat="1" x14ac:dyDescent="0.25">
      <c r="A5" s="435"/>
      <c r="B5" s="706"/>
      <c r="C5" s="429"/>
      <c r="D5" s="429" t="s">
        <v>641</v>
      </c>
      <c r="E5" s="431" t="s">
        <v>642</v>
      </c>
      <c r="F5" s="707"/>
      <c r="G5" s="708"/>
      <c r="H5" s="431" t="s">
        <v>642</v>
      </c>
      <c r="I5" s="431" t="s">
        <v>642</v>
      </c>
      <c r="J5" s="709"/>
      <c r="K5" s="430" t="s">
        <v>643</v>
      </c>
      <c r="L5" s="436"/>
      <c r="M5" s="437"/>
      <c r="N5" s="437"/>
      <c r="O5" s="437"/>
    </row>
    <row r="6" spans="1:19" customFormat="1" ht="15" x14ac:dyDescent="0.25">
      <c r="A6" s="290"/>
      <c r="B6" s="699" t="s">
        <v>644</v>
      </c>
      <c r="C6" s="715" t="s">
        <v>645</v>
      </c>
      <c r="D6" s="439" t="s">
        <v>646</v>
      </c>
      <c r="E6" s="702">
        <v>841930.56</v>
      </c>
      <c r="F6" s="440">
        <v>37391</v>
      </c>
      <c r="G6" s="441" t="s">
        <v>647</v>
      </c>
      <c r="H6" s="702">
        <f>2139.05+2146.24+2329.35+2102.88+2284.64+2176+2183.31+2248.08+2083.81+2376.09+2213.17+2164.13</f>
        <v>26446.750000000004</v>
      </c>
      <c r="I6" s="702">
        <f>296402.18+H6</f>
        <v>322848.93</v>
      </c>
      <c r="J6" s="719">
        <v>2032</v>
      </c>
      <c r="K6" s="698">
        <f>E6-I6</f>
        <v>519081.63000000006</v>
      </c>
      <c r="L6" s="423"/>
      <c r="M6" s="421"/>
      <c r="N6" s="421"/>
      <c r="O6" s="421"/>
      <c r="P6" s="42"/>
      <c r="Q6" s="42"/>
      <c r="R6" s="42"/>
      <c r="S6" s="42"/>
    </row>
    <row r="7" spans="1:19" customFormat="1" ht="15" x14ac:dyDescent="0.25">
      <c r="A7" s="290"/>
      <c r="B7" s="699"/>
      <c r="C7" s="715"/>
      <c r="D7" s="440">
        <v>37313</v>
      </c>
      <c r="E7" s="702"/>
      <c r="F7" s="443">
        <v>119634</v>
      </c>
      <c r="G7" s="443">
        <v>119634</v>
      </c>
      <c r="H7" s="702"/>
      <c r="I7" s="702"/>
      <c r="J7" s="719"/>
      <c r="K7" s="698"/>
      <c r="L7" s="423"/>
      <c r="M7" s="421"/>
      <c r="N7" s="421"/>
      <c r="O7" s="421"/>
      <c r="P7" s="42"/>
      <c r="Q7" s="42"/>
      <c r="R7" s="42"/>
      <c r="S7" s="42"/>
    </row>
    <row r="8" spans="1:19" customFormat="1" ht="15" x14ac:dyDescent="0.25">
      <c r="A8" s="290"/>
      <c r="B8" s="699"/>
      <c r="C8" s="715"/>
      <c r="D8" s="440"/>
      <c r="E8" s="702"/>
      <c r="F8" s="444">
        <f>F7/30.126</f>
        <v>3971.1212905795655</v>
      </c>
      <c r="G8" s="445">
        <f>G7/30.126</f>
        <v>3971.1212905795655</v>
      </c>
      <c r="H8" s="702"/>
      <c r="I8" s="702"/>
      <c r="J8" s="719"/>
      <c r="K8" s="698"/>
      <c r="L8" s="423"/>
      <c r="M8" s="421"/>
      <c r="N8" s="421"/>
      <c r="O8" s="421"/>
      <c r="P8" s="42"/>
      <c r="Q8" s="42"/>
      <c r="R8" s="42"/>
      <c r="S8" s="42"/>
    </row>
    <row r="9" spans="1:19" customFormat="1" ht="11.25" customHeight="1" x14ac:dyDescent="0.25">
      <c r="A9" s="290"/>
      <c r="B9" s="699" t="s">
        <v>648</v>
      </c>
      <c r="C9" s="715" t="s">
        <v>645</v>
      </c>
      <c r="D9" s="439" t="s">
        <v>649</v>
      </c>
      <c r="E9" s="702">
        <v>1529840</v>
      </c>
      <c r="F9" s="446" t="s">
        <v>650</v>
      </c>
      <c r="G9" s="441" t="s">
        <v>651</v>
      </c>
      <c r="H9" s="702">
        <f>4155.65+3606.79+3652.17+3528.68+3742.32+3619.3+3580.54</f>
        <v>25885.45</v>
      </c>
      <c r="I9" s="702">
        <f>H9</f>
        <v>25885.45</v>
      </c>
      <c r="J9" s="719" t="s">
        <v>652</v>
      </c>
      <c r="K9" s="698">
        <f>E9-I9</f>
        <v>1503954.55</v>
      </c>
      <c r="L9" s="423"/>
      <c r="M9" s="421"/>
      <c r="N9" s="421"/>
      <c r="O9" s="421"/>
      <c r="P9" s="42"/>
      <c r="Q9" s="42"/>
      <c r="R9" s="42"/>
      <c r="S9" s="42"/>
    </row>
    <row r="10" spans="1:19" customFormat="1" ht="10.5" customHeight="1" x14ac:dyDescent="0.25">
      <c r="A10" s="290"/>
      <c r="B10" s="699"/>
      <c r="C10" s="715"/>
      <c r="D10" s="440">
        <v>43012</v>
      </c>
      <c r="E10" s="702"/>
      <c r="F10" s="447">
        <v>4920.57</v>
      </c>
      <c r="G10" s="443" t="s">
        <v>653</v>
      </c>
      <c r="H10" s="702"/>
      <c r="I10" s="702"/>
      <c r="J10" s="719"/>
      <c r="K10" s="698"/>
      <c r="L10" s="423"/>
      <c r="M10" s="421"/>
      <c r="N10" s="421"/>
      <c r="O10" s="421"/>
      <c r="P10" s="42"/>
      <c r="Q10" s="42"/>
      <c r="R10" s="42"/>
      <c r="S10" s="42"/>
    </row>
    <row r="11" spans="1:19" customFormat="1" ht="12.75" customHeight="1" x14ac:dyDescent="0.25">
      <c r="A11" s="290"/>
      <c r="B11" s="699"/>
      <c r="C11" s="715"/>
      <c r="D11" s="440"/>
      <c r="E11" s="702"/>
      <c r="F11" s="444"/>
      <c r="G11" s="445">
        <v>4920.57</v>
      </c>
      <c r="H11" s="702"/>
      <c r="I11" s="702"/>
      <c r="J11" s="719"/>
      <c r="K11" s="698"/>
      <c r="L11" s="423"/>
      <c r="M11" s="421"/>
      <c r="N11" s="421"/>
      <c r="O11" s="421"/>
      <c r="P11" s="42"/>
      <c r="Q11" s="42"/>
      <c r="R11" s="42"/>
      <c r="S11" s="42"/>
    </row>
    <row r="12" spans="1:19" customFormat="1" ht="12.75" customHeight="1" x14ac:dyDescent="0.25">
      <c r="A12" s="290"/>
      <c r="B12" s="699" t="s">
        <v>654</v>
      </c>
      <c r="C12" s="715" t="s">
        <v>655</v>
      </c>
      <c r="D12" s="439" t="s">
        <v>656</v>
      </c>
      <c r="E12" s="702">
        <v>770210</v>
      </c>
      <c r="F12" s="446"/>
      <c r="G12" s="441" t="s">
        <v>651</v>
      </c>
      <c r="H12" s="702">
        <v>2006.62</v>
      </c>
      <c r="I12" s="702">
        <f>H12</f>
        <v>2006.62</v>
      </c>
      <c r="J12" s="716">
        <v>2048</v>
      </c>
      <c r="K12" s="698">
        <f>E12-I12</f>
        <v>768203.38</v>
      </c>
      <c r="L12" s="423"/>
      <c r="M12" s="421"/>
      <c r="N12" s="421"/>
      <c r="O12" s="421"/>
      <c r="P12" s="42"/>
      <c r="Q12" s="42"/>
      <c r="R12" s="42"/>
      <c r="S12" s="42"/>
    </row>
    <row r="13" spans="1:19" customFormat="1" ht="15" customHeight="1" x14ac:dyDescent="0.25">
      <c r="A13" s="290"/>
      <c r="B13" s="699"/>
      <c r="C13" s="715"/>
      <c r="D13" s="440">
        <v>43249</v>
      </c>
      <c r="E13" s="702"/>
      <c r="F13" s="447">
        <v>2477.3000000000002</v>
      </c>
      <c r="G13" s="443" t="s">
        <v>653</v>
      </c>
      <c r="H13" s="702"/>
      <c r="I13" s="702"/>
      <c r="J13" s="716"/>
      <c r="K13" s="698"/>
      <c r="L13" s="423"/>
      <c r="M13" s="421"/>
      <c r="N13" s="421"/>
      <c r="O13" s="421"/>
      <c r="P13" s="42"/>
      <c r="Q13" s="42"/>
      <c r="R13" s="42"/>
      <c r="S13" s="42"/>
    </row>
    <row r="14" spans="1:19" customFormat="1" ht="12" customHeight="1" x14ac:dyDescent="0.25">
      <c r="A14" s="290"/>
      <c r="B14" s="699"/>
      <c r="C14" s="715"/>
      <c r="D14" s="440"/>
      <c r="E14" s="702"/>
      <c r="F14" s="444"/>
      <c r="G14" s="445">
        <v>2477.3000000000002</v>
      </c>
      <c r="H14" s="702"/>
      <c r="I14" s="702"/>
      <c r="J14" s="716"/>
      <c r="K14" s="698"/>
      <c r="L14" s="423"/>
      <c r="M14" s="421"/>
      <c r="N14" s="421"/>
      <c r="O14" s="421"/>
      <c r="P14" s="42"/>
      <c r="Q14" s="42"/>
      <c r="R14" s="42"/>
      <c r="S14" s="42"/>
    </row>
    <row r="15" spans="1:19" customFormat="1" ht="15" x14ac:dyDescent="0.25">
      <c r="A15" s="290"/>
      <c r="B15" s="710" t="s">
        <v>657</v>
      </c>
      <c r="C15" s="700" t="s">
        <v>658</v>
      </c>
      <c r="D15" s="448" t="s">
        <v>659</v>
      </c>
      <c r="E15" s="702">
        <f>2655513.51+2323574.32</f>
        <v>4979087.83</v>
      </c>
      <c r="F15" s="449" t="s">
        <v>660</v>
      </c>
      <c r="G15" s="450" t="s">
        <v>661</v>
      </c>
      <c r="H15" s="702">
        <f>56215*9+56196.04</f>
        <v>562131.04</v>
      </c>
      <c r="I15" s="702">
        <f>4416956.79+H15</f>
        <v>4979087.83</v>
      </c>
      <c r="J15" s="704">
        <v>43404</v>
      </c>
      <c r="K15" s="698">
        <f>E15-I15</f>
        <v>0</v>
      </c>
      <c r="L15" s="423"/>
      <c r="M15" s="421"/>
      <c r="N15" s="421"/>
      <c r="O15" s="421"/>
      <c r="P15" s="42"/>
      <c r="Q15" s="42"/>
      <c r="R15" s="42"/>
      <c r="S15" s="42"/>
    </row>
    <row r="16" spans="1:19" customFormat="1" ht="15" x14ac:dyDescent="0.25">
      <c r="A16" s="290"/>
      <c r="B16" s="710"/>
      <c r="C16" s="700"/>
      <c r="D16" s="448">
        <v>39777</v>
      </c>
      <c r="E16" s="702"/>
      <c r="F16" s="452">
        <v>3250000</v>
      </c>
      <c r="G16" s="450"/>
      <c r="H16" s="702"/>
      <c r="I16" s="702"/>
      <c r="J16" s="704"/>
      <c r="K16" s="698"/>
      <c r="L16" s="423"/>
      <c r="M16" s="421"/>
      <c r="N16" s="421"/>
      <c r="O16" s="421"/>
      <c r="P16" s="42"/>
      <c r="Q16" s="42"/>
      <c r="R16" s="42"/>
      <c r="S16" s="421"/>
    </row>
    <row r="17" spans="1:19" customFormat="1" ht="15" x14ac:dyDescent="0.25">
      <c r="A17" s="290"/>
      <c r="B17" s="710"/>
      <c r="C17" s="700"/>
      <c r="D17" s="448" t="s">
        <v>662</v>
      </c>
      <c r="E17" s="702"/>
      <c r="F17" s="453">
        <f>F16/30.126</f>
        <v>107880.23634070238</v>
      </c>
      <c r="G17" s="450" t="s">
        <v>663</v>
      </c>
      <c r="H17" s="702"/>
      <c r="I17" s="702"/>
      <c r="J17" s="704"/>
      <c r="K17" s="698"/>
      <c r="L17" s="423"/>
      <c r="M17" s="421"/>
      <c r="N17" s="421"/>
      <c r="O17" s="421"/>
      <c r="P17" s="42"/>
      <c r="Q17" s="42"/>
      <c r="R17" s="42"/>
      <c r="S17" s="421"/>
    </row>
    <row r="18" spans="1:19" customFormat="1" ht="15" x14ac:dyDescent="0.25">
      <c r="A18" s="290"/>
      <c r="B18" s="710" t="s">
        <v>657</v>
      </c>
      <c r="C18" s="700" t="s">
        <v>658</v>
      </c>
      <c r="D18" s="448" t="s">
        <v>664</v>
      </c>
      <c r="E18" s="702">
        <f>368304.35+431752.15+120352.68+136825.05+133512.73</f>
        <v>1190746.96</v>
      </c>
      <c r="F18" s="449" t="s">
        <v>665</v>
      </c>
      <c r="G18" s="450" t="s">
        <v>666</v>
      </c>
      <c r="H18" s="702">
        <f>10530*12</f>
        <v>126360</v>
      </c>
      <c r="I18" s="702">
        <f>505440+H18</f>
        <v>631800</v>
      </c>
      <c r="J18" s="704">
        <v>45107</v>
      </c>
      <c r="K18" s="698">
        <f>E18-I18</f>
        <v>558946.96</v>
      </c>
      <c r="L18" s="423"/>
      <c r="M18" s="421"/>
      <c r="N18" s="421"/>
      <c r="O18" s="421"/>
      <c r="P18" s="42"/>
      <c r="Q18" s="42"/>
      <c r="R18" s="42"/>
      <c r="S18" s="42"/>
    </row>
    <row r="19" spans="1:19" customFormat="1" ht="15" x14ac:dyDescent="0.25">
      <c r="A19" s="290"/>
      <c r="B19" s="710"/>
      <c r="C19" s="700"/>
      <c r="D19" s="448">
        <v>41470</v>
      </c>
      <c r="E19" s="702"/>
      <c r="F19" s="453">
        <v>10530</v>
      </c>
      <c r="G19" s="450"/>
      <c r="H19" s="702"/>
      <c r="I19" s="702"/>
      <c r="J19" s="704"/>
      <c r="K19" s="698"/>
      <c r="L19" s="423"/>
      <c r="M19" s="421"/>
      <c r="N19" s="421"/>
      <c r="O19" s="421"/>
      <c r="P19" s="42"/>
      <c r="Q19" s="42"/>
      <c r="R19" s="42"/>
      <c r="S19" s="42"/>
    </row>
    <row r="20" spans="1:19" customFormat="1" ht="15" x14ac:dyDescent="0.25">
      <c r="A20" s="290"/>
      <c r="B20" s="710"/>
      <c r="C20" s="700"/>
      <c r="D20" s="448" t="s">
        <v>667</v>
      </c>
      <c r="E20" s="702"/>
      <c r="F20" s="453"/>
      <c r="G20" s="450" t="s">
        <v>668</v>
      </c>
      <c r="H20" s="702"/>
      <c r="I20" s="702"/>
      <c r="J20" s="704"/>
      <c r="K20" s="698"/>
      <c r="L20" s="423"/>
      <c r="M20" s="421"/>
      <c r="N20" s="421"/>
      <c r="O20" s="421"/>
      <c r="P20" s="42"/>
      <c r="Q20" s="42"/>
      <c r="R20" s="42"/>
      <c r="S20" s="42"/>
    </row>
    <row r="21" spans="1:19" customFormat="1" ht="15" x14ac:dyDescent="0.25">
      <c r="A21" s="290"/>
      <c r="B21" s="710" t="s">
        <v>657</v>
      </c>
      <c r="C21" s="700" t="s">
        <v>658</v>
      </c>
      <c r="D21" s="448" t="s">
        <v>669</v>
      </c>
      <c r="E21" s="702">
        <v>1000000</v>
      </c>
      <c r="F21" s="449" t="s">
        <v>670</v>
      </c>
      <c r="G21" s="450" t="s">
        <v>671</v>
      </c>
      <c r="H21" s="702">
        <f>8334*12</f>
        <v>100008</v>
      </c>
      <c r="I21" s="702">
        <f>100008+H21</f>
        <v>200016</v>
      </c>
      <c r="J21" s="704">
        <v>46387</v>
      </c>
      <c r="K21" s="698">
        <f>E21-I21</f>
        <v>799984</v>
      </c>
      <c r="L21" s="423"/>
      <c r="M21" s="421"/>
      <c r="N21" s="421"/>
      <c r="O21" s="421"/>
      <c r="P21" s="42"/>
      <c r="Q21" s="42"/>
      <c r="R21" s="42"/>
      <c r="S21" s="42"/>
    </row>
    <row r="22" spans="1:19" customFormat="1" ht="15" x14ac:dyDescent="0.25">
      <c r="A22" s="290"/>
      <c r="B22" s="710"/>
      <c r="C22" s="700"/>
      <c r="D22" s="448">
        <v>42655</v>
      </c>
      <c r="E22" s="702"/>
      <c r="F22" s="453">
        <v>8334</v>
      </c>
      <c r="G22" s="450"/>
      <c r="H22" s="702"/>
      <c r="I22" s="702"/>
      <c r="J22" s="704"/>
      <c r="K22" s="698"/>
      <c r="L22" s="423"/>
      <c r="M22" s="421"/>
      <c r="N22" s="421"/>
      <c r="O22" s="421"/>
      <c r="P22" s="42"/>
      <c r="Q22" s="42"/>
      <c r="R22" s="42"/>
      <c r="S22" s="42"/>
    </row>
    <row r="23" spans="1:19" customFormat="1" ht="15" x14ac:dyDescent="0.25">
      <c r="A23" s="290"/>
      <c r="B23" s="710"/>
      <c r="C23" s="700"/>
      <c r="D23" s="448"/>
      <c r="E23" s="702"/>
      <c r="F23" s="453"/>
      <c r="G23" s="450" t="s">
        <v>672</v>
      </c>
      <c r="H23" s="702"/>
      <c r="I23" s="702"/>
      <c r="J23" s="704"/>
      <c r="K23" s="698"/>
      <c r="L23" s="423"/>
      <c r="M23" s="421"/>
      <c r="N23" s="421"/>
      <c r="O23" s="421"/>
      <c r="P23" s="42"/>
      <c r="Q23" s="42"/>
      <c r="R23" s="42"/>
      <c r="S23" s="42"/>
    </row>
    <row r="24" spans="1:19" customFormat="1" ht="15" x14ac:dyDescent="0.25">
      <c r="A24" s="290"/>
      <c r="B24" s="710" t="s">
        <v>657</v>
      </c>
      <c r="C24" s="700" t="s">
        <v>658</v>
      </c>
      <c r="D24" s="448" t="s">
        <v>673</v>
      </c>
      <c r="E24" s="702">
        <v>3210000</v>
      </c>
      <c r="F24" s="449" t="s">
        <v>674</v>
      </c>
      <c r="G24" s="450" t="s">
        <v>675</v>
      </c>
      <c r="H24" s="702">
        <v>0</v>
      </c>
      <c r="I24" s="714">
        <v>0</v>
      </c>
      <c r="J24" s="704">
        <v>47118</v>
      </c>
      <c r="K24" s="698">
        <f>E24</f>
        <v>3210000</v>
      </c>
      <c r="L24" s="423"/>
      <c r="M24" s="421"/>
      <c r="N24" s="421"/>
      <c r="O24" s="421"/>
      <c r="P24" s="42"/>
      <c r="Q24" s="42"/>
      <c r="R24" s="42"/>
      <c r="S24" s="42"/>
    </row>
    <row r="25" spans="1:19" customFormat="1" ht="15" x14ac:dyDescent="0.25">
      <c r="A25" s="290"/>
      <c r="B25" s="710"/>
      <c r="C25" s="700"/>
      <c r="D25" s="448">
        <v>43299</v>
      </c>
      <c r="E25" s="702"/>
      <c r="F25" s="453">
        <v>26750</v>
      </c>
      <c r="G25" s="450"/>
      <c r="H25" s="702"/>
      <c r="I25" s="714"/>
      <c r="J25" s="704"/>
      <c r="K25" s="698"/>
      <c r="L25" s="423"/>
      <c r="M25" s="421"/>
      <c r="N25" s="421"/>
      <c r="O25" s="421"/>
      <c r="P25" s="42"/>
      <c r="Q25" s="42"/>
      <c r="R25" s="42"/>
      <c r="S25" s="42"/>
    </row>
    <row r="26" spans="1:19" customFormat="1" ht="15" x14ac:dyDescent="0.25">
      <c r="A26" s="290"/>
      <c r="B26" s="710"/>
      <c r="C26" s="700"/>
      <c r="D26" s="448"/>
      <c r="E26" s="702"/>
      <c r="F26" s="453"/>
      <c r="G26" s="450" t="s">
        <v>676</v>
      </c>
      <c r="H26" s="702"/>
      <c r="I26" s="714"/>
      <c r="J26" s="704"/>
      <c r="K26" s="698"/>
      <c r="L26" s="423"/>
      <c r="M26" s="421"/>
      <c r="N26" s="421"/>
      <c r="O26" s="421"/>
      <c r="P26" s="42"/>
      <c r="Q26" s="42"/>
      <c r="R26" s="42"/>
      <c r="S26" s="42"/>
    </row>
    <row r="27" spans="1:19" customFormat="1" ht="15" x14ac:dyDescent="0.25">
      <c r="A27" s="290"/>
      <c r="B27" s="710" t="s">
        <v>677</v>
      </c>
      <c r="C27" s="700" t="s">
        <v>658</v>
      </c>
      <c r="D27" s="448" t="s">
        <v>678</v>
      </c>
      <c r="E27" s="702">
        <v>2401468.7999999998</v>
      </c>
      <c r="F27" s="448">
        <v>42394</v>
      </c>
      <c r="G27" s="450" t="s">
        <v>679</v>
      </c>
      <c r="H27" s="702">
        <f>20012.24*12</f>
        <v>240146.88</v>
      </c>
      <c r="I27" s="702">
        <f>480293.76+H27</f>
        <v>720440.64</v>
      </c>
      <c r="J27" s="704">
        <v>46014</v>
      </c>
      <c r="K27" s="698">
        <f>E27-I27</f>
        <v>1681028.1599999997</v>
      </c>
      <c r="L27" s="423"/>
      <c r="M27" s="421"/>
      <c r="N27" s="421"/>
      <c r="O27" s="421"/>
      <c r="P27" s="42"/>
      <c r="Q27" s="42"/>
      <c r="R27" s="42"/>
      <c r="S27" s="42"/>
    </row>
    <row r="28" spans="1:19" customFormat="1" ht="15" x14ac:dyDescent="0.25">
      <c r="A28" s="290"/>
      <c r="B28" s="710"/>
      <c r="C28" s="700"/>
      <c r="D28" s="448">
        <v>42142</v>
      </c>
      <c r="E28" s="702"/>
      <c r="F28" s="453">
        <v>20012.240000000002</v>
      </c>
      <c r="G28" s="450" t="s">
        <v>680</v>
      </c>
      <c r="H28" s="702"/>
      <c r="I28" s="702"/>
      <c r="J28" s="704"/>
      <c r="K28" s="698"/>
      <c r="L28" s="423"/>
      <c r="M28" s="421"/>
      <c r="N28" s="421"/>
      <c r="O28" s="421"/>
      <c r="P28" s="42"/>
      <c r="Q28" s="42"/>
      <c r="R28" s="42"/>
      <c r="S28" s="42"/>
    </row>
    <row r="29" spans="1:19" customFormat="1" ht="15" x14ac:dyDescent="0.25">
      <c r="A29" s="290"/>
      <c r="B29" s="710"/>
      <c r="C29" s="700"/>
      <c r="D29" s="448"/>
      <c r="E29" s="702"/>
      <c r="F29" s="453"/>
      <c r="G29" s="450"/>
      <c r="H29" s="702"/>
      <c r="I29" s="702"/>
      <c r="J29" s="704"/>
      <c r="K29" s="698"/>
      <c r="L29" s="423"/>
      <c r="M29" s="421"/>
      <c r="N29" s="421"/>
      <c r="O29" s="421"/>
      <c r="P29" s="42"/>
      <c r="Q29" s="42"/>
      <c r="R29" s="42"/>
      <c r="S29" s="42"/>
    </row>
    <row r="30" spans="1:19" customFormat="1" ht="15" x14ac:dyDescent="0.25">
      <c r="A30" s="290"/>
      <c r="B30" s="710" t="s">
        <v>677</v>
      </c>
      <c r="C30" s="700" t="s">
        <v>658</v>
      </c>
      <c r="D30" s="451" t="s">
        <v>681</v>
      </c>
      <c r="E30" s="702">
        <v>681759.94</v>
      </c>
      <c r="F30" s="451">
        <v>42034</v>
      </c>
      <c r="G30" s="450" t="s">
        <v>682</v>
      </c>
      <c r="H30" s="711">
        <f>5681.33*12</f>
        <v>68175.959999999992</v>
      </c>
      <c r="I30" s="702">
        <f>204527.88+H30</f>
        <v>272703.83999999997</v>
      </c>
      <c r="J30" s="704">
        <v>45657</v>
      </c>
      <c r="K30" s="698">
        <f>E30-I30</f>
        <v>409056.1</v>
      </c>
      <c r="L30" s="423"/>
      <c r="M30" s="421"/>
      <c r="N30" s="421"/>
      <c r="O30" s="421"/>
      <c r="P30" s="42"/>
      <c r="Q30" s="42"/>
      <c r="R30" s="42"/>
      <c r="S30" s="42"/>
    </row>
    <row r="31" spans="1:19" customFormat="1" ht="15" x14ac:dyDescent="0.25">
      <c r="A31" s="290"/>
      <c r="B31" s="710"/>
      <c r="C31" s="700"/>
      <c r="D31" s="451"/>
      <c r="E31" s="702"/>
      <c r="F31" s="454"/>
      <c r="G31" s="450"/>
      <c r="H31" s="711"/>
      <c r="I31" s="702"/>
      <c r="J31" s="704"/>
      <c r="K31" s="698"/>
      <c r="L31" s="423"/>
      <c r="M31" s="421"/>
      <c r="N31" s="421"/>
      <c r="O31" s="421"/>
      <c r="P31" s="42"/>
      <c r="Q31" s="42"/>
      <c r="R31" s="42"/>
      <c r="S31" s="42"/>
    </row>
    <row r="32" spans="1:19" customFormat="1" ht="15" x14ac:dyDescent="0.25">
      <c r="A32" s="290"/>
      <c r="B32" s="710"/>
      <c r="C32" s="700"/>
      <c r="D32" s="451">
        <v>41890</v>
      </c>
      <c r="E32" s="702"/>
      <c r="F32" s="454">
        <v>5681.33</v>
      </c>
      <c r="G32" s="450" t="s">
        <v>683</v>
      </c>
      <c r="H32" s="711"/>
      <c r="I32" s="702"/>
      <c r="J32" s="704"/>
      <c r="K32" s="698"/>
      <c r="L32" s="423"/>
      <c r="M32" s="421"/>
      <c r="N32" s="421"/>
      <c r="O32" s="421"/>
      <c r="P32" s="42"/>
      <c r="Q32" s="42"/>
      <c r="R32" s="42"/>
      <c r="S32" s="42"/>
    </row>
    <row r="33" spans="1:19" customFormat="1" ht="15" x14ac:dyDescent="0.25">
      <c r="A33" s="290"/>
      <c r="B33" s="712" t="s">
        <v>684</v>
      </c>
      <c r="C33" s="700" t="s">
        <v>658</v>
      </c>
      <c r="D33" s="451" t="s">
        <v>685</v>
      </c>
      <c r="E33" s="702">
        <v>1500000</v>
      </c>
      <c r="F33" s="442" t="s">
        <v>665</v>
      </c>
      <c r="G33" s="455" t="s">
        <v>686</v>
      </c>
      <c r="H33" s="711">
        <f>12500*12</f>
        <v>150000</v>
      </c>
      <c r="I33" s="702">
        <f>600000+H33</f>
        <v>750000</v>
      </c>
      <c r="J33" s="704">
        <v>45291</v>
      </c>
      <c r="K33" s="698">
        <f>E33-I33</f>
        <v>750000</v>
      </c>
      <c r="L33" s="423"/>
      <c r="M33" s="421"/>
      <c r="N33" s="421"/>
      <c r="O33" s="421"/>
      <c r="P33" s="42"/>
      <c r="Q33" s="42"/>
      <c r="R33" s="42"/>
      <c r="S33" s="42"/>
    </row>
    <row r="34" spans="1:19" customFormat="1" ht="15" x14ac:dyDescent="0.25">
      <c r="A34" s="290"/>
      <c r="B34" s="712"/>
      <c r="C34" s="700"/>
      <c r="D34" s="451">
        <v>41548</v>
      </c>
      <c r="E34" s="702"/>
      <c r="F34" s="454">
        <v>12500</v>
      </c>
      <c r="G34" s="455" t="s">
        <v>687</v>
      </c>
      <c r="H34" s="711"/>
      <c r="I34" s="702"/>
      <c r="J34" s="704"/>
      <c r="K34" s="698"/>
      <c r="L34" s="423"/>
      <c r="M34" s="421"/>
      <c r="N34" s="421"/>
      <c r="O34" s="421"/>
      <c r="P34" s="42"/>
      <c r="Q34" s="42"/>
      <c r="R34" s="42"/>
      <c r="S34" s="42"/>
    </row>
    <row r="35" spans="1:19" customFormat="1" ht="15" x14ac:dyDescent="0.25">
      <c r="A35" s="290"/>
      <c r="B35" s="712" t="s">
        <v>684</v>
      </c>
      <c r="C35" s="700" t="s">
        <v>658</v>
      </c>
      <c r="D35" s="451" t="s">
        <v>688</v>
      </c>
      <c r="E35" s="702">
        <v>1300000</v>
      </c>
      <c r="F35" s="442" t="s">
        <v>689</v>
      </c>
      <c r="G35" s="455" t="s">
        <v>690</v>
      </c>
      <c r="H35" s="711">
        <f>10834*12</f>
        <v>130008</v>
      </c>
      <c r="I35" s="702">
        <f>390024+H35</f>
        <v>520032</v>
      </c>
      <c r="J35" s="704">
        <v>45657</v>
      </c>
      <c r="K35" s="698">
        <f>E35-I35</f>
        <v>779968</v>
      </c>
      <c r="L35" s="423"/>
      <c r="M35" s="421"/>
      <c r="N35" s="421"/>
      <c r="O35" s="421"/>
      <c r="P35" s="42"/>
      <c r="Q35" s="42"/>
      <c r="R35" s="42"/>
      <c r="S35" s="42"/>
    </row>
    <row r="36" spans="1:19" customFormat="1" ht="15" x14ac:dyDescent="0.25">
      <c r="A36" s="290"/>
      <c r="B36" s="712"/>
      <c r="C36" s="700"/>
      <c r="D36" s="451">
        <v>41815</v>
      </c>
      <c r="E36" s="702"/>
      <c r="F36" s="454">
        <v>10834</v>
      </c>
      <c r="G36" s="455" t="s">
        <v>691</v>
      </c>
      <c r="H36" s="711"/>
      <c r="I36" s="702"/>
      <c r="J36" s="704"/>
      <c r="K36" s="698"/>
      <c r="L36" s="423"/>
      <c r="M36" s="421"/>
      <c r="N36" s="421"/>
      <c r="O36" s="421"/>
      <c r="P36" s="42"/>
      <c r="Q36" s="42"/>
      <c r="R36" s="42"/>
      <c r="S36" s="42"/>
    </row>
    <row r="37" spans="1:19" customFormat="1" ht="15" customHeight="1" x14ac:dyDescent="0.25">
      <c r="A37" s="290"/>
      <c r="B37" s="712" t="s">
        <v>684</v>
      </c>
      <c r="C37" s="700" t="s">
        <v>658</v>
      </c>
      <c r="D37" s="451" t="s">
        <v>692</v>
      </c>
      <c r="E37" s="713">
        <v>1800000</v>
      </c>
      <c r="F37" s="442" t="s">
        <v>693</v>
      </c>
      <c r="G37" s="455" t="s">
        <v>694</v>
      </c>
      <c r="H37" s="711">
        <f>15000*12</f>
        <v>180000</v>
      </c>
      <c r="I37" s="702">
        <f>360000+H37</f>
        <v>540000</v>
      </c>
      <c r="J37" s="704">
        <v>46022</v>
      </c>
      <c r="K37" s="698">
        <f>E37-I37</f>
        <v>1260000</v>
      </c>
      <c r="L37" s="423"/>
      <c r="M37" s="421"/>
      <c r="N37" s="421"/>
      <c r="O37" s="421"/>
      <c r="P37" s="42"/>
      <c r="Q37" s="42"/>
      <c r="R37" s="42"/>
      <c r="S37" s="42"/>
    </row>
    <row r="38" spans="1:19" customFormat="1" ht="10.5" customHeight="1" x14ac:dyDescent="0.25">
      <c r="A38" s="290"/>
      <c r="B38" s="712"/>
      <c r="C38" s="700"/>
      <c r="D38" s="451">
        <v>42304</v>
      </c>
      <c r="E38" s="713"/>
      <c r="F38" s="454">
        <v>15000</v>
      </c>
      <c r="G38" s="455" t="s">
        <v>695</v>
      </c>
      <c r="H38" s="711"/>
      <c r="I38" s="702"/>
      <c r="J38" s="704"/>
      <c r="K38" s="698"/>
      <c r="L38" s="423"/>
      <c r="M38" s="421"/>
      <c r="N38" s="421"/>
      <c r="O38" s="421"/>
      <c r="P38" s="42"/>
      <c r="Q38" s="42"/>
      <c r="R38" s="42"/>
      <c r="S38" s="42"/>
    </row>
    <row r="39" spans="1:19" customFormat="1" ht="15" x14ac:dyDescent="0.25">
      <c r="A39" s="290"/>
      <c r="B39" s="710" t="s">
        <v>696</v>
      </c>
      <c r="C39" s="700" t="s">
        <v>658</v>
      </c>
      <c r="D39" s="451" t="s">
        <v>697</v>
      </c>
      <c r="E39" s="702">
        <v>3120000</v>
      </c>
      <c r="F39" s="442" t="s">
        <v>698</v>
      </c>
      <c r="G39" s="455" t="s">
        <v>699</v>
      </c>
      <c r="H39" s="711">
        <f>27130*12</f>
        <v>325560</v>
      </c>
      <c r="I39" s="702">
        <f>H39</f>
        <v>325560</v>
      </c>
      <c r="J39" s="704">
        <v>46589</v>
      </c>
      <c r="K39" s="698">
        <f>E39-I39</f>
        <v>2794440</v>
      </c>
      <c r="L39" s="423"/>
      <c r="M39" s="421"/>
      <c r="N39" s="421"/>
      <c r="O39" s="421"/>
      <c r="P39" s="42"/>
      <c r="Q39" s="42"/>
      <c r="R39" s="42"/>
      <c r="S39" s="42"/>
    </row>
    <row r="40" spans="1:19" customFormat="1" ht="18.75" customHeight="1" x14ac:dyDescent="0.25">
      <c r="A40" s="290"/>
      <c r="B40" s="710"/>
      <c r="C40" s="700"/>
      <c r="D40" s="451">
        <v>42929</v>
      </c>
      <c r="E40" s="702"/>
      <c r="F40" s="454">
        <v>27130</v>
      </c>
      <c r="G40" s="455" t="s">
        <v>700</v>
      </c>
      <c r="H40" s="711"/>
      <c r="I40" s="702"/>
      <c r="J40" s="704"/>
      <c r="K40" s="698"/>
      <c r="L40" s="423"/>
      <c r="M40" s="421"/>
      <c r="N40" s="421"/>
      <c r="O40" s="421"/>
      <c r="P40" s="42"/>
      <c r="Q40" s="42"/>
      <c r="R40" s="42"/>
      <c r="S40" s="42"/>
    </row>
    <row r="41" spans="1:19" customFormat="1" ht="14.25" customHeight="1" x14ac:dyDescent="0.25">
      <c r="A41" s="290"/>
      <c r="B41" s="456"/>
      <c r="C41" s="457"/>
      <c r="D41" s="458"/>
      <c r="E41" s="459"/>
      <c r="F41" s="460"/>
      <c r="G41" s="461"/>
      <c r="H41" s="462"/>
      <c r="I41" s="462"/>
      <c r="J41" s="463"/>
      <c r="K41" s="464"/>
      <c r="L41" s="423"/>
      <c r="M41" s="421"/>
      <c r="N41" s="421"/>
      <c r="O41" s="421"/>
      <c r="P41" s="42"/>
      <c r="Q41" s="42"/>
      <c r="R41" s="42"/>
      <c r="S41" s="42"/>
    </row>
    <row r="42" spans="1:19" customFormat="1" ht="14.25" customHeight="1" x14ac:dyDescent="0.25">
      <c r="A42" s="290"/>
      <c r="B42" s="456"/>
      <c r="C42" s="457"/>
      <c r="D42" s="458"/>
      <c r="E42" s="459"/>
      <c r="F42" s="460"/>
      <c r="G42" s="461"/>
      <c r="H42" s="462"/>
      <c r="I42" s="462"/>
      <c r="J42" s="463"/>
      <c r="K42" s="464"/>
      <c r="L42" s="423"/>
      <c r="M42" s="421"/>
      <c r="N42" s="421"/>
      <c r="O42" s="421"/>
      <c r="P42" s="42"/>
      <c r="Q42" s="42"/>
      <c r="R42" s="42"/>
      <c r="S42" s="42"/>
    </row>
    <row r="43" spans="1:19" customFormat="1" ht="14.25" customHeight="1" x14ac:dyDescent="0.25">
      <c r="A43" s="290"/>
      <c r="B43" s="456"/>
      <c r="C43" s="457"/>
      <c r="D43" s="458"/>
      <c r="E43" s="459"/>
      <c r="F43" s="460"/>
      <c r="G43" s="461"/>
      <c r="H43" s="462"/>
      <c r="I43" s="462"/>
      <c r="J43" s="463"/>
      <c r="K43" s="464"/>
      <c r="L43" s="423"/>
      <c r="M43" s="421"/>
      <c r="N43" s="421"/>
      <c r="O43" s="421"/>
      <c r="P43" s="42"/>
      <c r="Q43" s="42"/>
      <c r="R43" s="42"/>
      <c r="S43" s="42"/>
    </row>
    <row r="44" spans="1:19" customFormat="1" ht="14.25" customHeight="1" x14ac:dyDescent="0.25">
      <c r="A44" s="290"/>
      <c r="B44" s="456"/>
      <c r="C44" s="457"/>
      <c r="D44" s="458"/>
      <c r="E44" s="459"/>
      <c r="F44" s="460"/>
      <c r="G44" s="461"/>
      <c r="H44" s="462"/>
      <c r="I44" s="462"/>
      <c r="J44" s="463"/>
      <c r="K44" s="464"/>
      <c r="L44" s="423"/>
      <c r="M44" s="421"/>
      <c r="N44" s="421"/>
      <c r="O44" s="421"/>
      <c r="P44" s="42"/>
      <c r="Q44" s="42"/>
      <c r="R44" s="42"/>
      <c r="S44" s="42"/>
    </row>
    <row r="45" spans="1:19" customFormat="1" ht="14.25" customHeight="1" x14ac:dyDescent="0.25">
      <c r="A45" s="290"/>
      <c r="B45" s="456"/>
      <c r="C45" s="457"/>
      <c r="D45" s="458"/>
      <c r="E45" s="459"/>
      <c r="F45" s="460"/>
      <c r="G45" s="461"/>
      <c r="H45" s="462"/>
      <c r="I45" s="462"/>
      <c r="J45" s="463"/>
      <c r="K45" s="464"/>
      <c r="L45" s="423"/>
      <c r="M45" s="421"/>
      <c r="N45" s="421"/>
      <c r="O45" s="421"/>
      <c r="P45" s="42"/>
      <c r="Q45" s="42"/>
      <c r="R45" s="42"/>
      <c r="S45" s="42"/>
    </row>
    <row r="46" spans="1:19" customFormat="1" ht="14.25" customHeight="1" x14ac:dyDescent="0.25">
      <c r="A46" s="290"/>
      <c r="B46" s="456"/>
      <c r="C46" s="457"/>
      <c r="D46" s="458"/>
      <c r="E46" s="459"/>
      <c r="F46" s="460"/>
      <c r="G46" s="461"/>
      <c r="H46" s="462"/>
      <c r="I46" s="462"/>
      <c r="J46" s="463"/>
      <c r="K46" s="464"/>
      <c r="L46" s="423"/>
      <c r="M46" s="421"/>
      <c r="N46" s="421"/>
      <c r="O46" s="421"/>
      <c r="P46" s="42"/>
      <c r="Q46" s="42"/>
      <c r="R46" s="42"/>
      <c r="S46" s="42"/>
    </row>
    <row r="47" spans="1:19" customFormat="1" ht="14.25" customHeight="1" x14ac:dyDescent="0.25">
      <c r="A47" s="290"/>
      <c r="B47" s="456"/>
      <c r="C47" s="457"/>
      <c r="D47" s="458"/>
      <c r="E47" s="459"/>
      <c r="F47" s="460"/>
      <c r="G47" s="461"/>
      <c r="H47" s="462"/>
      <c r="I47" s="462"/>
      <c r="J47" s="463"/>
      <c r="K47" s="464"/>
      <c r="L47" s="423"/>
      <c r="M47" s="421"/>
      <c r="N47" s="421"/>
      <c r="O47" s="421"/>
      <c r="P47" s="42"/>
      <c r="Q47" s="42"/>
      <c r="R47" s="42"/>
      <c r="S47" s="42"/>
    </row>
    <row r="48" spans="1:19" customFormat="1" ht="14.25" customHeight="1" x14ac:dyDescent="0.25">
      <c r="A48" s="290"/>
      <c r="B48" s="456"/>
      <c r="C48" s="457"/>
      <c r="D48" s="458"/>
      <c r="E48" s="459"/>
      <c r="F48" s="460"/>
      <c r="G48" s="461"/>
      <c r="H48" s="462"/>
      <c r="I48" s="462"/>
      <c r="J48" s="463"/>
      <c r="K48" s="464"/>
      <c r="L48" s="423"/>
      <c r="M48" s="421"/>
      <c r="N48" s="421"/>
      <c r="O48" s="421"/>
      <c r="P48" s="42"/>
      <c r="Q48" s="42"/>
      <c r="R48" s="42"/>
      <c r="S48" s="42"/>
    </row>
    <row r="49" spans="1:19" customFormat="1" ht="20.25" x14ac:dyDescent="0.3">
      <c r="A49" s="290"/>
      <c r="B49" s="705" t="s">
        <v>701</v>
      </c>
      <c r="C49" s="705"/>
      <c r="D49" s="705"/>
      <c r="E49" s="705"/>
      <c r="F49" s="705"/>
      <c r="G49" s="705"/>
      <c r="H49" s="705"/>
      <c r="I49" s="705"/>
      <c r="J49" s="705"/>
      <c r="K49" s="705"/>
      <c r="L49" s="423"/>
      <c r="M49" s="421"/>
      <c r="N49" s="421"/>
      <c r="O49" s="421"/>
      <c r="P49" s="42"/>
      <c r="Q49" s="42"/>
      <c r="R49" s="42"/>
      <c r="S49" s="42"/>
    </row>
    <row r="50" spans="1:19" customFormat="1" ht="34.5" customHeight="1" x14ac:dyDescent="0.25">
      <c r="A50" s="290"/>
      <c r="B50" s="706" t="s">
        <v>702</v>
      </c>
      <c r="C50" s="429"/>
      <c r="D50" s="429" t="s">
        <v>633</v>
      </c>
      <c r="E50" s="430" t="s">
        <v>703</v>
      </c>
      <c r="F50" s="707" t="s">
        <v>704</v>
      </c>
      <c r="G50" s="708" t="s">
        <v>636</v>
      </c>
      <c r="H50" s="430" t="s">
        <v>637</v>
      </c>
      <c r="I50" s="430" t="s">
        <v>638</v>
      </c>
      <c r="J50" s="709" t="s">
        <v>639</v>
      </c>
      <c r="K50" s="430" t="s">
        <v>640</v>
      </c>
      <c r="L50" s="423"/>
      <c r="M50" s="421"/>
      <c r="N50" s="421"/>
      <c r="O50" s="421"/>
      <c r="P50" s="42"/>
      <c r="Q50" s="42"/>
      <c r="R50" s="42"/>
      <c r="S50" s="42"/>
    </row>
    <row r="51" spans="1:19" customFormat="1" ht="15" x14ac:dyDescent="0.25">
      <c r="A51" s="290"/>
      <c r="B51" s="706"/>
      <c r="C51" s="429"/>
      <c r="D51" s="429" t="s">
        <v>641</v>
      </c>
      <c r="E51" s="431" t="s">
        <v>642</v>
      </c>
      <c r="F51" s="707"/>
      <c r="G51" s="708"/>
      <c r="H51" s="431" t="s">
        <v>642</v>
      </c>
      <c r="I51" s="431" t="s">
        <v>642</v>
      </c>
      <c r="J51" s="709"/>
      <c r="K51" s="430" t="s">
        <v>643</v>
      </c>
      <c r="L51" s="423"/>
      <c r="M51" s="421"/>
      <c r="N51" s="421"/>
      <c r="O51" s="421"/>
      <c r="P51" s="42"/>
      <c r="Q51" s="42"/>
      <c r="R51" s="42"/>
      <c r="S51" s="42"/>
    </row>
    <row r="52" spans="1:19" customFormat="1" ht="15" x14ac:dyDescent="0.25">
      <c r="A52" s="290"/>
      <c r="B52" s="699" t="s">
        <v>705</v>
      </c>
      <c r="C52" s="700" t="s">
        <v>706</v>
      </c>
      <c r="D52" s="449"/>
      <c r="E52" s="701">
        <v>4011443.06</v>
      </c>
      <c r="F52" s="449" t="s">
        <v>707</v>
      </c>
      <c r="G52" s="450" t="s">
        <v>708</v>
      </c>
      <c r="H52" s="702">
        <f>33428.69*12-0.42</f>
        <v>401143.86000000004</v>
      </c>
      <c r="I52" s="703">
        <f>3610299.02+H52</f>
        <v>4011442.88</v>
      </c>
      <c r="J52" s="704">
        <v>43449</v>
      </c>
      <c r="K52" s="698">
        <f>E52-I52-0.18</f>
        <v>1.6763807009212428E-10</v>
      </c>
      <c r="L52" s="423"/>
      <c r="M52" s="421"/>
      <c r="N52" s="421"/>
      <c r="O52" s="421"/>
      <c r="P52" s="42"/>
      <c r="Q52" s="42"/>
      <c r="R52" s="42"/>
      <c r="S52" s="42"/>
    </row>
    <row r="53" spans="1:19" customFormat="1" ht="15" x14ac:dyDescent="0.25">
      <c r="A53" s="290"/>
      <c r="B53" s="699"/>
      <c r="C53" s="700"/>
      <c r="D53" s="449" t="s">
        <v>709</v>
      </c>
      <c r="E53" s="701"/>
      <c r="F53" s="453">
        <v>33428.69</v>
      </c>
      <c r="G53" s="450" t="s">
        <v>710</v>
      </c>
      <c r="H53" s="702"/>
      <c r="I53" s="703"/>
      <c r="J53" s="704"/>
      <c r="K53" s="698"/>
      <c r="L53" s="423"/>
      <c r="M53" s="421"/>
      <c r="N53" s="421"/>
      <c r="O53" s="421"/>
      <c r="P53" s="421"/>
      <c r="Q53" s="42"/>
      <c r="R53" s="42"/>
      <c r="S53" s="42"/>
    </row>
    <row r="54" spans="1:19" customFormat="1" ht="15" x14ac:dyDescent="0.25">
      <c r="A54" s="290"/>
      <c r="B54" s="699" t="s">
        <v>705</v>
      </c>
      <c r="C54" s="700" t="s">
        <v>706</v>
      </c>
      <c r="D54" s="449"/>
      <c r="E54" s="701">
        <v>962746.33</v>
      </c>
      <c r="F54" s="449" t="s">
        <v>707</v>
      </c>
      <c r="G54" s="450" t="s">
        <v>708</v>
      </c>
      <c r="H54" s="702">
        <f>8022.88*12+0.24</f>
        <v>96274.8</v>
      </c>
      <c r="I54" s="703">
        <f>866471.53+H54</f>
        <v>962746.33000000007</v>
      </c>
      <c r="J54" s="704">
        <v>43449</v>
      </c>
      <c r="K54" s="698">
        <f>E54-I54</f>
        <v>0</v>
      </c>
      <c r="L54" s="423"/>
      <c r="M54" s="421"/>
      <c r="N54" s="421"/>
      <c r="O54" s="421"/>
      <c r="P54" s="421"/>
      <c r="Q54" s="42"/>
      <c r="R54" s="42"/>
      <c r="S54" s="42"/>
    </row>
    <row r="55" spans="1:19" customFormat="1" ht="15" x14ac:dyDescent="0.25">
      <c r="A55" s="290"/>
      <c r="B55" s="699"/>
      <c r="C55" s="700"/>
      <c r="D55" s="449" t="s">
        <v>709</v>
      </c>
      <c r="E55" s="701"/>
      <c r="F55" s="453">
        <v>8022.89</v>
      </c>
      <c r="G55" s="450" t="s">
        <v>711</v>
      </c>
      <c r="H55" s="702"/>
      <c r="I55" s="703"/>
      <c r="J55" s="704"/>
      <c r="K55" s="698"/>
      <c r="L55" s="423"/>
      <c r="M55" s="421"/>
      <c r="N55" s="421"/>
      <c r="O55" s="421"/>
      <c r="P55" s="421"/>
      <c r="Q55" s="42"/>
      <c r="R55" s="42"/>
      <c r="S55" s="42"/>
    </row>
    <row r="56" spans="1:19" customFormat="1" ht="15" x14ac:dyDescent="0.25">
      <c r="A56" s="290"/>
      <c r="B56" s="699" t="s">
        <v>705</v>
      </c>
      <c r="C56" s="700" t="s">
        <v>706</v>
      </c>
      <c r="D56" s="449"/>
      <c r="E56" s="701">
        <v>2801674.98</v>
      </c>
      <c r="F56" s="449" t="s">
        <v>707</v>
      </c>
      <c r="G56" s="450" t="s">
        <v>708</v>
      </c>
      <c r="H56" s="702">
        <f>23347.29*12+0.09</f>
        <v>280167.57</v>
      </c>
      <c r="I56" s="703">
        <f>2521507.41+H56</f>
        <v>2801674.98</v>
      </c>
      <c r="J56" s="704">
        <v>43449</v>
      </c>
      <c r="K56" s="698">
        <f>E56-I56</f>
        <v>0</v>
      </c>
      <c r="L56" s="423"/>
      <c r="M56" s="421"/>
      <c r="N56" s="421"/>
      <c r="O56" s="421"/>
      <c r="P56" s="421"/>
      <c r="Q56" s="42"/>
      <c r="R56" s="42"/>
      <c r="S56" s="42"/>
    </row>
    <row r="57" spans="1:19" customFormat="1" ht="15" x14ac:dyDescent="0.25">
      <c r="A57" s="290"/>
      <c r="B57" s="699"/>
      <c r="C57" s="700"/>
      <c r="D57" s="449" t="s">
        <v>712</v>
      </c>
      <c r="E57" s="701"/>
      <c r="F57" s="453">
        <v>23347.29</v>
      </c>
      <c r="G57" s="450" t="s">
        <v>713</v>
      </c>
      <c r="H57" s="702"/>
      <c r="I57" s="703"/>
      <c r="J57" s="704"/>
      <c r="K57" s="698"/>
      <c r="L57" s="423"/>
      <c r="M57" s="421"/>
      <c r="N57" s="421"/>
      <c r="O57" s="421"/>
      <c r="P57" s="421"/>
      <c r="Q57" s="42"/>
      <c r="R57" s="42"/>
      <c r="S57" s="42"/>
    </row>
    <row r="58" spans="1:19" customFormat="1" ht="15" x14ac:dyDescent="0.25">
      <c r="A58" s="290"/>
      <c r="B58" s="699" t="s">
        <v>705</v>
      </c>
      <c r="C58" s="700" t="s">
        <v>706</v>
      </c>
      <c r="D58" s="449"/>
      <c r="E58" s="701">
        <v>672401.99</v>
      </c>
      <c r="F58" s="449" t="s">
        <v>707</v>
      </c>
      <c r="G58" s="450" t="s">
        <v>708</v>
      </c>
      <c r="H58" s="702">
        <f>5603.35*12</f>
        <v>67240.200000000012</v>
      </c>
      <c r="I58" s="703">
        <f>605161.79+H58</f>
        <v>672401.99</v>
      </c>
      <c r="J58" s="704">
        <v>43449</v>
      </c>
      <c r="K58" s="698">
        <f>E58-I58</f>
        <v>0</v>
      </c>
      <c r="L58" s="423"/>
      <c r="M58" s="421"/>
      <c r="N58" s="421"/>
      <c r="O58" s="421"/>
      <c r="P58" s="421"/>
      <c r="Q58" s="42"/>
      <c r="R58" s="42"/>
      <c r="S58" s="42"/>
    </row>
    <row r="59" spans="1:19" customFormat="1" ht="15" x14ac:dyDescent="0.25">
      <c r="A59" s="290"/>
      <c r="B59" s="699"/>
      <c r="C59" s="700"/>
      <c r="D59" s="449" t="s">
        <v>712</v>
      </c>
      <c r="E59" s="701"/>
      <c r="F59" s="453">
        <v>5603.35</v>
      </c>
      <c r="G59" s="450" t="s">
        <v>714</v>
      </c>
      <c r="H59" s="702"/>
      <c r="I59" s="703"/>
      <c r="J59" s="704"/>
      <c r="K59" s="698"/>
      <c r="L59" s="423"/>
      <c r="M59" s="421"/>
      <c r="N59" s="421"/>
      <c r="O59" s="421"/>
      <c r="P59" s="421"/>
      <c r="Q59" s="42"/>
      <c r="R59" s="42"/>
      <c r="S59" s="42"/>
    </row>
    <row r="60" spans="1:19" customFormat="1" ht="15" x14ac:dyDescent="0.25">
      <c r="A60" s="290"/>
      <c r="B60" s="699" t="s">
        <v>705</v>
      </c>
      <c r="C60" s="700" t="s">
        <v>706</v>
      </c>
      <c r="D60" s="449"/>
      <c r="E60" s="701">
        <v>154129.57999999999</v>
      </c>
      <c r="F60" s="449" t="s">
        <v>707</v>
      </c>
      <c r="G60" s="450" t="s">
        <v>708</v>
      </c>
      <c r="H60" s="702">
        <f>1284.41*12+0.19</f>
        <v>15413.110000000002</v>
      </c>
      <c r="I60" s="703">
        <f>138716.47+H60</f>
        <v>154129.58000000002</v>
      </c>
      <c r="J60" s="704">
        <v>43449</v>
      </c>
      <c r="K60" s="698">
        <f>E60-I60</f>
        <v>0</v>
      </c>
      <c r="L60" s="423"/>
      <c r="M60" s="421"/>
      <c r="N60" s="421"/>
      <c r="O60" s="421"/>
      <c r="P60" s="42"/>
      <c r="Q60" s="42"/>
      <c r="R60" s="42"/>
      <c r="S60" s="42"/>
    </row>
    <row r="61" spans="1:19" customFormat="1" ht="15" x14ac:dyDescent="0.25">
      <c r="A61" s="290"/>
      <c r="B61" s="699"/>
      <c r="C61" s="700"/>
      <c r="D61" s="449" t="s">
        <v>715</v>
      </c>
      <c r="E61" s="701"/>
      <c r="F61" s="453">
        <v>1284.4100000000001</v>
      </c>
      <c r="G61" s="450" t="s">
        <v>716</v>
      </c>
      <c r="H61" s="702"/>
      <c r="I61" s="703"/>
      <c r="J61" s="704"/>
      <c r="K61" s="698"/>
      <c r="L61" s="423"/>
      <c r="M61" s="421"/>
      <c r="N61" s="421"/>
      <c r="O61" s="421"/>
      <c r="P61" s="42"/>
      <c r="Q61" s="42"/>
      <c r="R61" s="42"/>
      <c r="S61" s="42"/>
    </row>
    <row r="62" spans="1:19" customFormat="1" ht="15" x14ac:dyDescent="0.25">
      <c r="A62" s="290"/>
      <c r="B62" s="699" t="s">
        <v>705</v>
      </c>
      <c r="C62" s="700" t="s">
        <v>706</v>
      </c>
      <c r="D62" s="449"/>
      <c r="E62" s="701">
        <v>642206.57999999996</v>
      </c>
      <c r="F62" s="449" t="s">
        <v>707</v>
      </c>
      <c r="G62" s="450" t="s">
        <v>708</v>
      </c>
      <c r="H62" s="702">
        <f>5351.72*12+0.09</f>
        <v>64220.729999999996</v>
      </c>
      <c r="I62" s="703">
        <f>577985.85+H62</f>
        <v>642206.57999999996</v>
      </c>
      <c r="J62" s="704">
        <v>43449</v>
      </c>
      <c r="K62" s="698">
        <f>E62-I62</f>
        <v>0</v>
      </c>
      <c r="L62" s="423"/>
      <c r="M62" s="421"/>
      <c r="N62" s="421"/>
      <c r="O62" s="421"/>
      <c r="P62" s="42"/>
      <c r="Q62" s="42"/>
      <c r="R62" s="42"/>
      <c r="S62" s="42"/>
    </row>
    <row r="63" spans="1:19" customFormat="1" ht="15" x14ac:dyDescent="0.25">
      <c r="A63" s="290"/>
      <c r="B63" s="699"/>
      <c r="C63" s="700"/>
      <c r="D63" s="449" t="s">
        <v>715</v>
      </c>
      <c r="E63" s="701"/>
      <c r="F63" s="453">
        <v>5351.72</v>
      </c>
      <c r="G63" s="450" t="s">
        <v>717</v>
      </c>
      <c r="H63" s="702"/>
      <c r="I63" s="703"/>
      <c r="J63" s="704"/>
      <c r="K63" s="698"/>
      <c r="L63" s="423"/>
      <c r="M63" s="421"/>
      <c r="N63" s="421"/>
      <c r="O63" s="421"/>
      <c r="P63" s="42"/>
      <c r="Q63" s="42"/>
      <c r="R63" s="42"/>
      <c r="S63" s="42"/>
    </row>
    <row r="64" spans="1:19" customFormat="1" ht="15" x14ac:dyDescent="0.25">
      <c r="A64" s="290"/>
      <c r="B64" s="699" t="s">
        <v>718</v>
      </c>
      <c r="C64" s="700" t="s">
        <v>706</v>
      </c>
      <c r="D64" s="449" t="s">
        <v>719</v>
      </c>
      <c r="E64" s="701">
        <v>586770.98</v>
      </c>
      <c r="F64" s="449" t="s">
        <v>720</v>
      </c>
      <c r="G64" s="450" t="s">
        <v>721</v>
      </c>
      <c r="H64" s="702">
        <f>4889.76*12</f>
        <v>58677.120000000003</v>
      </c>
      <c r="I64" s="703">
        <f>410739.84+H64</f>
        <v>469416.96000000002</v>
      </c>
      <c r="J64" s="704">
        <v>44196</v>
      </c>
      <c r="K64" s="698">
        <f>E64-I64</f>
        <v>117354.01999999996</v>
      </c>
      <c r="L64" s="423"/>
      <c r="M64" s="421"/>
      <c r="N64" s="421"/>
      <c r="O64" s="421"/>
      <c r="P64" s="42"/>
      <c r="Q64" s="42"/>
      <c r="R64" s="42"/>
      <c r="S64" s="42"/>
    </row>
    <row r="65" spans="1:19" customFormat="1" ht="15" x14ac:dyDescent="0.25">
      <c r="A65" s="290"/>
      <c r="B65" s="699"/>
      <c r="C65" s="700"/>
      <c r="D65" s="449" t="s">
        <v>722</v>
      </c>
      <c r="E65" s="701"/>
      <c r="F65" s="453">
        <v>4889.76</v>
      </c>
      <c r="G65" s="450" t="s">
        <v>723</v>
      </c>
      <c r="H65" s="702"/>
      <c r="I65" s="703"/>
      <c r="J65" s="704"/>
      <c r="K65" s="698"/>
      <c r="L65" s="423"/>
      <c r="M65" s="421"/>
      <c r="N65" s="421"/>
      <c r="O65" s="421"/>
      <c r="P65" s="42"/>
      <c r="Q65" s="42"/>
      <c r="R65" s="42"/>
      <c r="S65" s="42"/>
    </row>
    <row r="66" spans="1:19" customFormat="1" ht="15" x14ac:dyDescent="0.25">
      <c r="A66" s="290"/>
      <c r="B66" s="699" t="s">
        <v>724</v>
      </c>
      <c r="C66" s="700" t="s">
        <v>706</v>
      </c>
      <c r="D66" s="449" t="s">
        <v>719</v>
      </c>
      <c r="E66" s="701">
        <v>1259891.28</v>
      </c>
      <c r="F66" s="449" t="s">
        <v>720</v>
      </c>
      <c r="G66" s="450" t="s">
        <v>721</v>
      </c>
      <c r="H66" s="702">
        <f>10499.09*12</f>
        <v>125989.08</v>
      </c>
      <c r="I66" s="703">
        <f>881923.56+H66</f>
        <v>1007912.64</v>
      </c>
      <c r="J66" s="704">
        <v>44196</v>
      </c>
      <c r="K66" s="698">
        <f>E66-I66</f>
        <v>251978.64</v>
      </c>
      <c r="L66" s="423"/>
      <c r="M66" s="421"/>
      <c r="N66" s="421"/>
      <c r="O66" s="421"/>
      <c r="P66" s="42"/>
      <c r="Q66" s="42"/>
      <c r="R66" s="42"/>
      <c r="S66" s="42"/>
    </row>
    <row r="67" spans="1:19" customFormat="1" ht="15" x14ac:dyDescent="0.25">
      <c r="A67" s="290"/>
      <c r="B67" s="699"/>
      <c r="C67" s="700"/>
      <c r="D67" s="449" t="s">
        <v>725</v>
      </c>
      <c r="E67" s="701"/>
      <c r="F67" s="453">
        <v>10499.09</v>
      </c>
      <c r="G67" s="450" t="s">
        <v>726</v>
      </c>
      <c r="H67" s="702"/>
      <c r="I67" s="703"/>
      <c r="J67" s="704"/>
      <c r="K67" s="698"/>
      <c r="L67" s="423"/>
      <c r="M67" s="421"/>
      <c r="N67" s="421"/>
      <c r="O67" s="421"/>
      <c r="P67" s="42"/>
      <c r="Q67" s="42"/>
      <c r="R67" s="42"/>
      <c r="S67" s="42"/>
    </row>
    <row r="68" spans="1:19" customFormat="1" ht="15" x14ac:dyDescent="0.25">
      <c r="A68" s="290"/>
      <c r="B68" s="42"/>
      <c r="C68" s="42"/>
      <c r="D68" s="290"/>
      <c r="E68" s="421"/>
      <c r="F68" s="421"/>
      <c r="G68" s="421"/>
      <c r="H68" s="421"/>
      <c r="I68" s="421"/>
      <c r="J68" s="422"/>
      <c r="K68" s="42"/>
      <c r="L68" s="421"/>
      <c r="M68" s="421"/>
      <c r="N68" s="42"/>
      <c r="O68" s="42"/>
      <c r="P68" s="42"/>
      <c r="Q68" s="42"/>
      <c r="R68" s="42"/>
      <c r="S68" s="42"/>
    </row>
    <row r="69" spans="1:19" customFormat="1" ht="15" x14ac:dyDescent="0.25">
      <c r="A69" s="290"/>
      <c r="B69" s="42"/>
      <c r="C69" s="42"/>
      <c r="D69" s="290"/>
      <c r="E69" s="421"/>
      <c r="F69" s="421"/>
      <c r="G69" s="421"/>
      <c r="H69" s="421"/>
      <c r="I69" s="421"/>
      <c r="J69" s="422"/>
      <c r="K69" s="42"/>
      <c r="L69" s="421"/>
      <c r="M69" s="421"/>
      <c r="N69" s="42"/>
      <c r="O69" s="42"/>
      <c r="P69" s="42"/>
      <c r="Q69" s="42"/>
      <c r="R69" s="42"/>
      <c r="S69" s="42"/>
    </row>
    <row r="70" spans="1:19" customFormat="1" ht="15" x14ac:dyDescent="0.25">
      <c r="A70" s="290"/>
      <c r="B70" s="42"/>
      <c r="C70" s="42"/>
      <c r="D70" s="290"/>
      <c r="E70" s="421"/>
      <c r="F70" s="421"/>
      <c r="G70" s="421"/>
      <c r="H70" s="421"/>
      <c r="I70" s="421"/>
      <c r="J70" s="422"/>
      <c r="K70" s="42"/>
      <c r="L70" s="421"/>
      <c r="M70" s="421"/>
      <c r="N70" s="42"/>
      <c r="O70" s="42"/>
      <c r="P70" s="42"/>
      <c r="Q70" s="42"/>
      <c r="R70" s="42"/>
      <c r="S70" s="42"/>
    </row>
    <row r="71" spans="1:19" customFormat="1" ht="15" x14ac:dyDescent="0.25">
      <c r="A71" s="290"/>
      <c r="B71" s="42"/>
      <c r="C71" s="42"/>
      <c r="D71" s="290"/>
      <c r="E71" s="421"/>
      <c r="F71" s="421"/>
      <c r="G71" s="421"/>
      <c r="H71" s="421"/>
      <c r="I71" s="421"/>
      <c r="J71" s="422"/>
      <c r="K71" s="42"/>
      <c r="L71" s="421"/>
      <c r="M71" s="421"/>
      <c r="N71" s="42"/>
      <c r="O71" s="42"/>
      <c r="P71" s="42"/>
      <c r="Q71" s="42"/>
      <c r="R71" s="42"/>
      <c r="S71" s="42"/>
    </row>
  </sheetData>
  <mergeCells count="158">
    <mergeCell ref="B2:K2"/>
    <mergeCell ref="B3:K3"/>
    <mergeCell ref="B4:B5"/>
    <mergeCell ref="F4:F5"/>
    <mergeCell ref="G4:G5"/>
    <mergeCell ref="J4:J5"/>
    <mergeCell ref="K6:K8"/>
    <mergeCell ref="B9:B11"/>
    <mergeCell ref="C9:C11"/>
    <mergeCell ref="E9:E11"/>
    <mergeCell ref="H9:H11"/>
    <mergeCell ref="I9:I11"/>
    <mergeCell ref="J9:J11"/>
    <mergeCell ref="K9:K11"/>
    <mergeCell ref="B6:B8"/>
    <mergeCell ref="C6:C8"/>
    <mergeCell ref="E6:E8"/>
    <mergeCell ref="H6:H8"/>
    <mergeCell ref="I6:I8"/>
    <mergeCell ref="J6:J8"/>
    <mergeCell ref="K12:K14"/>
    <mergeCell ref="B15:B17"/>
    <mergeCell ref="C15:C17"/>
    <mergeCell ref="E15:E17"/>
    <mergeCell ref="H15:H17"/>
    <mergeCell ref="I15:I17"/>
    <mergeCell ref="J15:J17"/>
    <mergeCell ref="K15:K17"/>
    <mergeCell ref="B12:B14"/>
    <mergeCell ref="C12:C14"/>
    <mergeCell ref="E12:E14"/>
    <mergeCell ref="H12:H14"/>
    <mergeCell ref="I12:I14"/>
    <mergeCell ref="J12:J14"/>
    <mergeCell ref="K18:K20"/>
    <mergeCell ref="B21:B23"/>
    <mergeCell ref="C21:C23"/>
    <mergeCell ref="E21:E23"/>
    <mergeCell ref="H21:H23"/>
    <mergeCell ref="I21:I23"/>
    <mergeCell ref="J21:J23"/>
    <mergeCell ref="K21:K23"/>
    <mergeCell ref="B18:B20"/>
    <mergeCell ref="C18:C20"/>
    <mergeCell ref="E18:E20"/>
    <mergeCell ref="H18:H20"/>
    <mergeCell ref="I18:I20"/>
    <mergeCell ref="J18:J20"/>
    <mergeCell ref="K24:K26"/>
    <mergeCell ref="B27:B29"/>
    <mergeCell ref="C27:C29"/>
    <mergeCell ref="E27:E29"/>
    <mergeCell ref="H27:H29"/>
    <mergeCell ref="I27:I29"/>
    <mergeCell ref="J27:J29"/>
    <mergeCell ref="K27:K29"/>
    <mergeCell ref="B24:B26"/>
    <mergeCell ref="C24:C26"/>
    <mergeCell ref="E24:E26"/>
    <mergeCell ref="H24:H26"/>
    <mergeCell ref="I24:I26"/>
    <mergeCell ref="J24:J26"/>
    <mergeCell ref="K30:K32"/>
    <mergeCell ref="B33:B34"/>
    <mergeCell ref="C33:C34"/>
    <mergeCell ref="E33:E34"/>
    <mergeCell ref="H33:H34"/>
    <mergeCell ref="I33:I34"/>
    <mergeCell ref="J33:J34"/>
    <mergeCell ref="K33:K34"/>
    <mergeCell ref="B30:B32"/>
    <mergeCell ref="C30:C32"/>
    <mergeCell ref="E30:E32"/>
    <mergeCell ref="H30:H32"/>
    <mergeCell ref="I30:I32"/>
    <mergeCell ref="J30:J32"/>
    <mergeCell ref="K35:K36"/>
    <mergeCell ref="B37:B38"/>
    <mergeCell ref="C37:C38"/>
    <mergeCell ref="E37:E38"/>
    <mergeCell ref="H37:H38"/>
    <mergeCell ref="I37:I38"/>
    <mergeCell ref="J37:J38"/>
    <mergeCell ref="K37:K38"/>
    <mergeCell ref="B35:B36"/>
    <mergeCell ref="C35:C36"/>
    <mergeCell ref="E35:E36"/>
    <mergeCell ref="H35:H36"/>
    <mergeCell ref="I35:I36"/>
    <mergeCell ref="J35:J36"/>
    <mergeCell ref="K39:K40"/>
    <mergeCell ref="B49:K49"/>
    <mergeCell ref="B50:B51"/>
    <mergeCell ref="F50:F51"/>
    <mergeCell ref="G50:G51"/>
    <mergeCell ref="J50:J51"/>
    <mergeCell ref="B39:B40"/>
    <mergeCell ref="C39:C40"/>
    <mergeCell ref="E39:E40"/>
    <mergeCell ref="H39:H40"/>
    <mergeCell ref="I39:I40"/>
    <mergeCell ref="J39:J40"/>
    <mergeCell ref="K52:K53"/>
    <mergeCell ref="B54:B55"/>
    <mergeCell ref="C54:C55"/>
    <mergeCell ref="E54:E55"/>
    <mergeCell ref="H54:H55"/>
    <mergeCell ref="I54:I55"/>
    <mergeCell ref="J54:J55"/>
    <mergeCell ref="K54:K55"/>
    <mergeCell ref="B52:B53"/>
    <mergeCell ref="C52:C53"/>
    <mergeCell ref="E52:E53"/>
    <mergeCell ref="H52:H53"/>
    <mergeCell ref="I52:I53"/>
    <mergeCell ref="J52:J53"/>
    <mergeCell ref="K56:K57"/>
    <mergeCell ref="B58:B59"/>
    <mergeCell ref="C58:C59"/>
    <mergeCell ref="E58:E59"/>
    <mergeCell ref="H58:H59"/>
    <mergeCell ref="I58:I59"/>
    <mergeCell ref="J58:J59"/>
    <mergeCell ref="K58:K59"/>
    <mergeCell ref="B56:B57"/>
    <mergeCell ref="C56:C57"/>
    <mergeCell ref="E56:E57"/>
    <mergeCell ref="H56:H57"/>
    <mergeCell ref="I56:I57"/>
    <mergeCell ref="J56:J57"/>
    <mergeCell ref="K60:K61"/>
    <mergeCell ref="B62:B63"/>
    <mergeCell ref="C62:C63"/>
    <mergeCell ref="E62:E63"/>
    <mergeCell ref="H62:H63"/>
    <mergeCell ref="I62:I63"/>
    <mergeCell ref="J62:J63"/>
    <mergeCell ref="K62:K63"/>
    <mergeCell ref="B60:B61"/>
    <mergeCell ref="C60:C61"/>
    <mergeCell ref="E60:E61"/>
    <mergeCell ref="H60:H61"/>
    <mergeCell ref="I60:I61"/>
    <mergeCell ref="J60:J61"/>
    <mergeCell ref="K64:K65"/>
    <mergeCell ref="B66:B67"/>
    <mergeCell ref="C66:C67"/>
    <mergeCell ref="E66:E67"/>
    <mergeCell ref="H66:H67"/>
    <mergeCell ref="I66:I67"/>
    <mergeCell ref="J66:J67"/>
    <mergeCell ref="K66:K67"/>
    <mergeCell ref="B64:B65"/>
    <mergeCell ref="C64:C65"/>
    <mergeCell ref="E64:E65"/>
    <mergeCell ref="H64:H65"/>
    <mergeCell ref="I64:I65"/>
    <mergeCell ref="J64:J65"/>
  </mergeCells>
  <pageMargins left="0.23622047244094502" right="0.23622047244094502" top="0.11811023622047202" bottom="0.19685039370078702" header="0.11811023622047202" footer="0.19685039370078702"/>
  <pageSetup paperSize="9" scale="90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workbookViewId="0"/>
  </sheetViews>
  <sheetFormatPr defaultColWidth="9.7109375" defaultRowHeight="12.75" x14ac:dyDescent="0.2"/>
  <cols>
    <col min="1" max="1" width="1.85546875" style="27" customWidth="1"/>
    <col min="2" max="2" width="35.28515625" style="27" customWidth="1"/>
    <col min="3" max="4" width="7.85546875" style="27" customWidth="1"/>
    <col min="5" max="5" width="8.28515625" style="27" customWidth="1"/>
    <col min="6" max="6" width="8.85546875" style="27" customWidth="1"/>
    <col min="7" max="7" width="9.42578125" style="27" customWidth="1"/>
    <col min="8" max="8" width="8.5703125" style="27" customWidth="1"/>
    <col min="9" max="9" width="8.85546875" style="27" customWidth="1"/>
    <col min="10" max="14" width="9.140625" style="27" customWidth="1"/>
    <col min="15" max="15" width="19.42578125" style="27" customWidth="1"/>
    <col min="16" max="245" width="9.140625" style="27" customWidth="1"/>
    <col min="246" max="246" width="1.85546875" style="27" customWidth="1"/>
    <col min="247" max="247" width="42" style="27" customWidth="1"/>
    <col min="248" max="248" width="11.7109375" style="27" customWidth="1"/>
    <col min="249" max="249" width="10.140625" style="27" customWidth="1"/>
    <col min="250" max="250" width="10.28515625" style="27" customWidth="1"/>
    <col min="251" max="251" width="10.140625" style="27" customWidth="1"/>
    <col min="252" max="252" width="11.5703125" style="27" customWidth="1"/>
    <col min="253" max="253" width="10.28515625" style="27" customWidth="1"/>
    <col min="254" max="254" width="1.7109375" style="27" customWidth="1"/>
    <col min="255" max="255" width="16.7109375" style="27" customWidth="1"/>
    <col min="256" max="256" width="9.7109375" style="27" customWidth="1"/>
    <col min="257" max="16384" width="9.7109375" style="27"/>
  </cols>
  <sheetData>
    <row r="2" spans="2:15" ht="15" customHeight="1" x14ac:dyDescent="0.2">
      <c r="G2" s="465"/>
      <c r="H2" s="466" t="s">
        <v>727</v>
      </c>
      <c r="I2" s="467"/>
      <c r="J2" s="467"/>
    </row>
    <row r="3" spans="2:15" ht="10.5" customHeight="1" x14ac:dyDescent="0.2">
      <c r="E3" s="465"/>
    </row>
    <row r="4" spans="2:15" ht="58.5" customHeight="1" x14ac:dyDescent="0.2">
      <c r="B4" s="720" t="s">
        <v>728</v>
      </c>
      <c r="C4" s="720"/>
      <c r="D4" s="720"/>
      <c r="E4" s="720"/>
      <c r="F4" s="720"/>
      <c r="G4" s="720"/>
      <c r="H4" s="720"/>
      <c r="I4" s="468"/>
      <c r="J4" s="468"/>
    </row>
    <row r="5" spans="2:15" ht="9" customHeight="1" x14ac:dyDescent="0.2">
      <c r="B5" s="468"/>
      <c r="C5" s="468"/>
      <c r="D5" s="468"/>
      <c r="E5" s="468"/>
      <c r="F5" s="468"/>
      <c r="G5" s="468"/>
      <c r="H5" s="468"/>
      <c r="I5" s="468"/>
    </row>
    <row r="6" spans="2:15" ht="52.5" customHeight="1" x14ac:dyDescent="0.2">
      <c r="B6" s="721" t="s">
        <v>729</v>
      </c>
      <c r="C6" s="721"/>
      <c r="D6" s="721"/>
      <c r="E6" s="721"/>
      <c r="F6" s="721"/>
      <c r="G6" s="721"/>
      <c r="H6" s="721"/>
      <c r="I6" s="469"/>
      <c r="J6" s="469"/>
    </row>
    <row r="7" spans="2:15" ht="3.75" customHeight="1" thickBot="1" x14ac:dyDescent="0.25"/>
    <row r="8" spans="2:15" ht="15" x14ac:dyDescent="0.25">
      <c r="B8" s="470"/>
      <c r="C8" s="471">
        <v>2013</v>
      </c>
      <c r="D8" s="471">
        <v>2014</v>
      </c>
      <c r="E8" s="471">
        <v>2015</v>
      </c>
      <c r="F8" s="471">
        <v>2016</v>
      </c>
      <c r="G8" s="471">
        <v>2017</v>
      </c>
      <c r="H8" s="472">
        <v>2018</v>
      </c>
    </row>
    <row r="9" spans="2:15" x14ac:dyDescent="0.2">
      <c r="B9" s="473" t="s">
        <v>730</v>
      </c>
      <c r="C9" s="474">
        <v>55452</v>
      </c>
      <c r="D9" s="225">
        <v>55338</v>
      </c>
      <c r="E9" s="474">
        <v>55155</v>
      </c>
      <c r="F9" s="225">
        <v>55000</v>
      </c>
      <c r="G9" s="474">
        <v>54916</v>
      </c>
      <c r="H9" s="475">
        <v>54705</v>
      </c>
    </row>
    <row r="10" spans="2:15" ht="1.5" customHeight="1" x14ac:dyDescent="0.2">
      <c r="B10" s="473"/>
      <c r="C10" s="474"/>
      <c r="D10" s="225"/>
      <c r="E10" s="474"/>
      <c r="F10" s="225"/>
      <c r="G10" s="474"/>
      <c r="H10" s="475"/>
    </row>
    <row r="11" spans="2:15" x14ac:dyDescent="0.2">
      <c r="B11" s="473" t="s">
        <v>731</v>
      </c>
      <c r="C11" s="476">
        <v>9293</v>
      </c>
      <c r="D11" s="477">
        <v>16598</v>
      </c>
      <c r="E11" s="476">
        <v>14037</v>
      </c>
      <c r="F11" s="477">
        <v>12053</v>
      </c>
      <c r="G11" s="476">
        <v>12394</v>
      </c>
      <c r="H11" s="478">
        <v>13381</v>
      </c>
    </row>
    <row r="12" spans="2:15" customFormat="1" ht="15" customHeight="1" x14ac:dyDescent="0.25">
      <c r="B12" s="479" t="s">
        <v>732</v>
      </c>
      <c r="C12" s="474">
        <f t="shared" ref="C12:H12" si="0">C11/C9*1000</f>
        <v>167.5863810142105</v>
      </c>
      <c r="D12" s="225">
        <f t="shared" si="0"/>
        <v>299.93855939860492</v>
      </c>
      <c r="E12" s="474">
        <f t="shared" si="0"/>
        <v>254.50095186293174</v>
      </c>
      <c r="F12" s="225">
        <f t="shared" si="0"/>
        <v>219.14545454545453</v>
      </c>
      <c r="G12" s="474">
        <f t="shared" si="0"/>
        <v>225.69014494864882</v>
      </c>
      <c r="H12" s="475">
        <f t="shared" si="0"/>
        <v>244.60286993876247</v>
      </c>
      <c r="I12" s="27"/>
      <c r="J12" s="27"/>
      <c r="K12" s="27"/>
      <c r="L12" s="27"/>
      <c r="M12" s="27"/>
      <c r="N12" s="27"/>
      <c r="O12" s="219"/>
    </row>
    <row r="13" spans="2:15" customFormat="1" ht="15" x14ac:dyDescent="0.25">
      <c r="B13" s="479" t="s">
        <v>733</v>
      </c>
      <c r="C13" s="474">
        <v>31393</v>
      </c>
      <c r="D13" s="225">
        <v>31923</v>
      </c>
      <c r="E13" s="474">
        <v>34190</v>
      </c>
      <c r="F13" s="225">
        <v>37362</v>
      </c>
      <c r="G13" s="474">
        <v>39771</v>
      </c>
      <c r="H13" s="475">
        <v>43691</v>
      </c>
      <c r="I13" s="27"/>
      <c r="J13" s="27"/>
      <c r="K13" s="27"/>
      <c r="L13" s="27"/>
      <c r="M13" s="27"/>
      <c r="N13" s="27"/>
      <c r="O13" s="219"/>
    </row>
    <row r="14" spans="2:15" customFormat="1" ht="30" customHeight="1" x14ac:dyDescent="0.25">
      <c r="B14" s="479" t="s">
        <v>734</v>
      </c>
      <c r="C14" s="480">
        <v>0.30980000000000002</v>
      </c>
      <c r="D14" s="481">
        <f>D11/C13</f>
        <v>0.52871659287102224</v>
      </c>
      <c r="E14" s="480">
        <f>E11/D13</f>
        <v>0.43971431256460858</v>
      </c>
      <c r="F14" s="481">
        <f>F11/E13</f>
        <v>0.35252997952617726</v>
      </c>
      <c r="G14" s="480">
        <f>G11/F13</f>
        <v>0.33172742358546115</v>
      </c>
      <c r="H14" s="482">
        <f>H11/G13</f>
        <v>0.33645118302280558</v>
      </c>
      <c r="I14" s="27"/>
      <c r="J14" s="27"/>
      <c r="K14" s="27"/>
      <c r="L14" s="27"/>
      <c r="M14" s="27"/>
      <c r="N14" s="27"/>
      <c r="O14" s="27"/>
    </row>
    <row r="15" spans="2:15" customFormat="1" ht="7.5" customHeight="1" x14ac:dyDescent="0.25">
      <c r="B15" s="479"/>
      <c r="C15" s="480"/>
      <c r="D15" s="481"/>
      <c r="E15" s="480"/>
      <c r="F15" s="481"/>
      <c r="G15" s="480"/>
      <c r="H15" s="482"/>
      <c r="I15" s="27"/>
      <c r="J15" s="27"/>
      <c r="K15" s="27"/>
      <c r="L15" s="27"/>
      <c r="M15" s="27"/>
      <c r="N15" s="27"/>
      <c r="O15" s="27"/>
    </row>
    <row r="16" spans="2:15" customFormat="1" ht="15" x14ac:dyDescent="0.25">
      <c r="B16" s="479" t="s">
        <v>735</v>
      </c>
      <c r="C16" s="476">
        <v>2006</v>
      </c>
      <c r="D16" s="477">
        <v>1785</v>
      </c>
      <c r="E16" s="476">
        <v>2131</v>
      </c>
      <c r="F16" s="477">
        <v>1813</v>
      </c>
      <c r="G16" s="476">
        <f>129+2804</f>
        <v>2933</v>
      </c>
      <c r="H16" s="478">
        <v>3168</v>
      </c>
      <c r="I16" s="27"/>
      <c r="J16" s="27"/>
      <c r="K16" s="27"/>
      <c r="L16" s="27"/>
      <c r="M16" s="27"/>
      <c r="N16" s="27"/>
      <c r="O16" s="27"/>
    </row>
    <row r="17" spans="2:15" customFormat="1" ht="39" x14ac:dyDescent="0.25">
      <c r="B17" s="483" t="s">
        <v>736</v>
      </c>
      <c r="C17" s="484"/>
      <c r="D17" s="485"/>
      <c r="E17" s="484"/>
      <c r="F17" s="486">
        <v>28921</v>
      </c>
      <c r="G17" s="486">
        <v>31427</v>
      </c>
      <c r="H17" s="487">
        <v>34803</v>
      </c>
      <c r="I17" s="27"/>
      <c r="J17" s="27"/>
      <c r="K17" s="27"/>
      <c r="L17" s="27"/>
      <c r="M17" s="27"/>
      <c r="N17" s="27"/>
      <c r="O17" s="27"/>
    </row>
    <row r="18" spans="2:15" s="131" customFormat="1" ht="31.5" customHeight="1" thickBot="1" x14ac:dyDescent="0.3">
      <c r="B18" s="488" t="s">
        <v>737</v>
      </c>
      <c r="C18" s="489">
        <v>6.6900000000000001E-2</v>
      </c>
      <c r="D18" s="490">
        <f>D16/C13</f>
        <v>5.6859809511674575E-2</v>
      </c>
      <c r="E18" s="489">
        <f>E16/D13</f>
        <v>6.6754377721392102E-2</v>
      </c>
      <c r="F18" s="490">
        <f>F16/E13</f>
        <v>5.3027200935946185E-2</v>
      </c>
      <c r="G18" s="490">
        <f>G16/F17</f>
        <v>0.10141419729608243</v>
      </c>
      <c r="H18" s="491">
        <f>H16/G17</f>
        <v>0.1008050402520126</v>
      </c>
    </row>
    <row r="19" spans="2:15" customFormat="1" ht="15" x14ac:dyDescent="0.25">
      <c r="B19" s="492"/>
      <c r="C19" s="493"/>
      <c r="D19" s="493"/>
      <c r="E19" s="493"/>
      <c r="F19" s="27"/>
      <c r="G19" s="27"/>
      <c r="H19" s="494"/>
      <c r="I19" s="27"/>
      <c r="J19" s="27"/>
      <c r="K19" s="27"/>
      <c r="L19" s="27"/>
      <c r="M19" s="27"/>
      <c r="N19" s="27"/>
      <c r="O19" s="27"/>
    </row>
    <row r="20" spans="2:15" customFormat="1" ht="15" x14ac:dyDescent="0.25">
      <c r="B20" s="495" t="s">
        <v>738</v>
      </c>
      <c r="C20" s="495"/>
      <c r="D20" s="496"/>
      <c r="E20" s="496"/>
      <c r="F20" s="495"/>
      <c r="G20" s="495"/>
      <c r="H20" s="495"/>
      <c r="I20" s="27"/>
      <c r="J20" s="27"/>
      <c r="K20" s="27"/>
      <c r="L20" s="27"/>
      <c r="M20" s="27"/>
      <c r="N20" s="27"/>
      <c r="O20" s="27"/>
    </row>
    <row r="21" spans="2:15" customFormat="1" ht="15" x14ac:dyDescent="0.25">
      <c r="B21" s="495" t="s">
        <v>739</v>
      </c>
      <c r="C21" s="495"/>
      <c r="D21" s="496"/>
      <c r="E21" s="496"/>
      <c r="F21" s="495"/>
      <c r="G21" s="495"/>
      <c r="H21" s="495"/>
      <c r="I21" s="27"/>
      <c r="J21" s="27"/>
      <c r="K21" s="27"/>
      <c r="L21" s="27"/>
      <c r="M21" s="27"/>
      <c r="N21" s="27"/>
      <c r="O21" s="27"/>
    </row>
    <row r="22" spans="2:15" customFormat="1" ht="15" x14ac:dyDescent="0.25">
      <c r="B22" s="495" t="s">
        <v>740</v>
      </c>
      <c r="C22" s="495"/>
      <c r="D22" s="496"/>
      <c r="E22" s="496"/>
      <c r="F22" s="495"/>
      <c r="G22" s="495"/>
      <c r="H22" s="495"/>
      <c r="I22" s="27"/>
      <c r="J22" s="27"/>
      <c r="K22" s="27"/>
      <c r="L22" s="27"/>
      <c r="M22" s="27"/>
      <c r="N22" s="27"/>
      <c r="O22" s="27"/>
    </row>
    <row r="23" spans="2:15" customFormat="1" ht="33.75" customHeight="1" x14ac:dyDescent="0.25">
      <c r="B23" s="722" t="s">
        <v>741</v>
      </c>
      <c r="C23" s="722"/>
      <c r="D23" s="722"/>
      <c r="E23" s="722"/>
      <c r="F23" s="722"/>
      <c r="G23" s="722"/>
      <c r="H23" s="722"/>
      <c r="I23" s="27"/>
      <c r="J23" s="27"/>
      <c r="K23" s="27"/>
      <c r="L23" s="27"/>
      <c r="M23" s="27"/>
      <c r="N23" s="27"/>
      <c r="O23" s="27"/>
    </row>
    <row r="24" spans="2:15" customFormat="1" ht="57" customHeight="1" x14ac:dyDescent="0.25">
      <c r="B24" s="723" t="s">
        <v>742</v>
      </c>
      <c r="C24" s="723"/>
      <c r="D24" s="723"/>
      <c r="E24" s="723"/>
      <c r="F24" s="723"/>
      <c r="G24" s="723"/>
      <c r="H24" s="723"/>
      <c r="I24" s="27"/>
      <c r="J24" s="27"/>
      <c r="K24" s="27"/>
      <c r="L24" s="27"/>
      <c r="M24" s="27"/>
      <c r="N24" s="27"/>
      <c r="O24" s="27"/>
    </row>
    <row r="25" spans="2:15" customFormat="1" ht="15" x14ac:dyDescent="0.25">
      <c r="B25" s="27"/>
      <c r="C25" s="493"/>
      <c r="D25" s="493"/>
      <c r="E25" s="493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customFormat="1" ht="15" x14ac:dyDescent="0.25">
      <c r="B26" s="492"/>
      <c r="C26" s="493"/>
      <c r="D26" s="493"/>
      <c r="E26" s="493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5" customFormat="1" ht="15" x14ac:dyDescent="0.25">
      <c r="B27" s="492"/>
      <c r="C27" s="493"/>
      <c r="D27" s="493"/>
      <c r="E27" s="493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2:15" customFormat="1" ht="15" x14ac:dyDescent="0.25">
      <c r="B28" s="492"/>
      <c r="C28" s="493"/>
      <c r="D28" s="493"/>
      <c r="E28" s="493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customFormat="1" ht="15" x14ac:dyDescent="0.25">
      <c r="B29" s="492"/>
      <c r="C29" s="493"/>
      <c r="D29" s="493"/>
      <c r="E29" s="493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customFormat="1" ht="15" x14ac:dyDescent="0.25">
      <c r="B30" s="492"/>
      <c r="C30" s="493"/>
      <c r="D30" s="493"/>
      <c r="E30" s="493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customFormat="1" ht="15" x14ac:dyDescent="0.25">
      <c r="B31" s="492"/>
      <c r="C31" s="493"/>
      <c r="D31" s="493"/>
      <c r="E31" s="493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customFormat="1" ht="15" x14ac:dyDescent="0.25">
      <c r="B32" s="492"/>
      <c r="C32" s="493"/>
      <c r="D32" s="493"/>
      <c r="E32" s="493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customFormat="1" ht="15" x14ac:dyDescent="0.25">
      <c r="B33" s="492"/>
      <c r="C33" s="493"/>
      <c r="D33" s="493"/>
      <c r="E33" s="493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customFormat="1" ht="15" x14ac:dyDescent="0.25">
      <c r="B34" s="492"/>
      <c r="C34" s="493"/>
      <c r="D34" s="493"/>
      <c r="E34" s="49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customFormat="1" ht="15" x14ac:dyDescent="0.25">
      <c r="B35" s="492"/>
      <c r="C35" s="493"/>
      <c r="D35" s="493"/>
      <c r="E35" s="493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customFormat="1" ht="15" x14ac:dyDescent="0.25">
      <c r="B36" s="492"/>
      <c r="C36" s="493"/>
      <c r="D36" s="493"/>
      <c r="E36" s="493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customFormat="1" ht="15" x14ac:dyDescent="0.25">
      <c r="B37" s="492"/>
      <c r="C37" s="493"/>
      <c r="D37" s="493"/>
      <c r="E37" s="493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customFormat="1" ht="15" x14ac:dyDescent="0.25">
      <c r="B38" s="492"/>
      <c r="C38" s="493"/>
      <c r="D38" s="493"/>
      <c r="E38" s="493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customFormat="1" ht="15" x14ac:dyDescent="0.25">
      <c r="B39" s="492"/>
      <c r="C39" s="493"/>
      <c r="D39" s="493"/>
      <c r="E39" s="493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customFormat="1" ht="15" x14ac:dyDescent="0.25">
      <c r="B40" s="492"/>
      <c r="C40" s="493"/>
      <c r="D40" s="493"/>
      <c r="E40" s="49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customFormat="1" ht="15" x14ac:dyDescent="0.25">
      <c r="B41" s="492"/>
      <c r="C41" s="493"/>
      <c r="D41" s="493"/>
      <c r="E41" s="493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customFormat="1" ht="15" x14ac:dyDescent="0.25">
      <c r="B42" s="492"/>
      <c r="C42" s="493"/>
      <c r="D42" s="493"/>
      <c r="E42" s="493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customFormat="1" ht="15" x14ac:dyDescent="0.25">
      <c r="B43" s="497"/>
      <c r="C43" s="493"/>
      <c r="D43" s="493"/>
      <c r="E43" s="493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customFormat="1" ht="15" x14ac:dyDescent="0.25">
      <c r="B44" s="492"/>
      <c r="C44" s="493"/>
      <c r="D44" s="493"/>
      <c r="E44" s="493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customFormat="1" ht="15" x14ac:dyDescent="0.25">
      <c r="B45" s="492"/>
      <c r="C45" s="493"/>
      <c r="D45" s="493"/>
      <c r="E45" s="493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customFormat="1" ht="15" x14ac:dyDescent="0.25">
      <c r="B46" s="492"/>
      <c r="C46" s="493"/>
      <c r="D46" s="493"/>
      <c r="E46" s="493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customFormat="1" ht="15" x14ac:dyDescent="0.25">
      <c r="B47" s="49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</sheetData>
  <mergeCells count="4">
    <mergeCell ref="B4:H4"/>
    <mergeCell ref="B6:H6"/>
    <mergeCell ref="B23:H23"/>
    <mergeCell ref="B24:H24"/>
  </mergeCells>
  <pageMargins left="0.55118110236220497" right="0.55118110236220497" top="0.74803149606299213" bottom="0.74803149606299213" header="0.31496062992126012" footer="0.31496062992126012"/>
  <pageSetup paperSize="9" scale="95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workbookViewId="0"/>
  </sheetViews>
  <sheetFormatPr defaultRowHeight="12.75" x14ac:dyDescent="0.2"/>
  <cols>
    <col min="1" max="1" width="1.42578125" style="27" customWidth="1"/>
    <col min="2" max="2" width="4.85546875" style="27" customWidth="1"/>
    <col min="3" max="3" width="8" style="521" customWidth="1"/>
    <col min="4" max="4" width="32.42578125" style="27" customWidth="1"/>
    <col min="5" max="5" width="16.42578125" style="27" customWidth="1"/>
    <col min="6" max="6" width="15.85546875" style="27" customWidth="1"/>
    <col min="7" max="7" width="13.140625" style="27" customWidth="1"/>
    <col min="8" max="8" width="5.140625" style="27" customWidth="1"/>
    <col min="9" max="9" width="9.140625" style="27" customWidth="1"/>
    <col min="10" max="16384" width="9.140625" style="27"/>
  </cols>
  <sheetData>
    <row r="1" spans="2:11" s="131" customFormat="1" x14ac:dyDescent="0.25">
      <c r="C1" s="498"/>
    </row>
    <row r="2" spans="2:11" s="131" customFormat="1" x14ac:dyDescent="0.25">
      <c r="C2" s="498"/>
      <c r="E2" s="499"/>
      <c r="G2" s="500" t="s">
        <v>743</v>
      </c>
    </row>
    <row r="3" spans="2:11" s="131" customFormat="1" ht="18" x14ac:dyDescent="0.25">
      <c r="B3" s="655" t="s">
        <v>744</v>
      </c>
      <c r="C3" s="655"/>
      <c r="D3" s="655"/>
      <c r="E3" s="655"/>
      <c r="F3" s="655"/>
      <c r="G3" s="655"/>
    </row>
    <row r="4" spans="2:11" s="131" customFormat="1" ht="13.5" thickBot="1" x14ac:dyDescent="0.3">
      <c r="C4" s="498"/>
    </row>
    <row r="5" spans="2:11" s="131" customFormat="1" ht="33.75" customHeight="1" x14ac:dyDescent="0.25">
      <c r="B5" s="725" t="s">
        <v>1</v>
      </c>
      <c r="C5" s="725"/>
      <c r="D5" s="725"/>
      <c r="E5" s="501" t="s">
        <v>745</v>
      </c>
      <c r="F5" s="501" t="s">
        <v>746</v>
      </c>
      <c r="G5" s="502" t="s">
        <v>747</v>
      </c>
    </row>
    <row r="6" spans="2:11" s="67" customFormat="1" ht="24" customHeight="1" thickBot="1" x14ac:dyDescent="0.3">
      <c r="B6" s="726" t="s">
        <v>748</v>
      </c>
      <c r="C6" s="726"/>
      <c r="D6" s="726"/>
      <c r="E6" s="503">
        <f>E7+E13+E15+E18+E23+E26+E31+E37+E47</f>
        <v>40098389</v>
      </c>
      <c r="F6" s="503">
        <f>F7+F13+F15+F18+F23+F26+F31+F37+F47</f>
        <v>40704974</v>
      </c>
      <c r="G6" s="504">
        <f>G7+G13+G15+G18+G23+G26+G31+G37+G47</f>
        <v>38899319.139999993</v>
      </c>
      <c r="I6" s="505"/>
      <c r="J6" s="505"/>
      <c r="K6" s="505"/>
    </row>
    <row r="7" spans="2:11" s="131" customFormat="1" ht="13.5" thickTop="1" x14ac:dyDescent="0.25">
      <c r="B7" s="506" t="s">
        <v>749</v>
      </c>
      <c r="C7" s="727" t="s">
        <v>750</v>
      </c>
      <c r="D7" s="727"/>
      <c r="E7" s="507">
        <f>SUM(E8:E12)</f>
        <v>4597508</v>
      </c>
      <c r="F7" s="507">
        <f>SUM(F8:F12)</f>
        <v>4878831</v>
      </c>
      <c r="G7" s="508">
        <f>SUM(G8:G12)</f>
        <v>4526507.01</v>
      </c>
    </row>
    <row r="8" spans="2:11" s="131" customFormat="1" x14ac:dyDescent="0.25">
      <c r="B8" s="509"/>
      <c r="C8" s="215" t="s">
        <v>751</v>
      </c>
      <c r="D8" s="352" t="s">
        <v>752</v>
      </c>
      <c r="E8" s="510">
        <v>4243608</v>
      </c>
      <c r="F8" s="510">
        <v>4581315</v>
      </c>
      <c r="G8" s="123">
        <v>4247539.83</v>
      </c>
    </row>
    <row r="9" spans="2:11" s="131" customFormat="1" x14ac:dyDescent="0.25">
      <c r="B9" s="509"/>
      <c r="C9" s="215" t="s">
        <v>753</v>
      </c>
      <c r="D9" s="352" t="s">
        <v>754</v>
      </c>
      <c r="E9" s="510">
        <v>24900</v>
      </c>
      <c r="F9" s="510">
        <v>24900</v>
      </c>
      <c r="G9" s="123">
        <v>23796.09</v>
      </c>
    </row>
    <row r="10" spans="2:11" s="131" customFormat="1" ht="15" customHeight="1" x14ac:dyDescent="0.25">
      <c r="B10" s="509"/>
      <c r="C10" s="215" t="s">
        <v>755</v>
      </c>
      <c r="D10" s="352" t="s">
        <v>756</v>
      </c>
      <c r="E10" s="510">
        <v>230000</v>
      </c>
      <c r="F10" s="510">
        <v>134350</v>
      </c>
      <c r="G10" s="123">
        <v>121793.53</v>
      </c>
    </row>
    <row r="11" spans="2:11" s="131" customFormat="1" x14ac:dyDescent="0.25">
      <c r="B11" s="509"/>
      <c r="C11" s="215" t="s">
        <v>757</v>
      </c>
      <c r="D11" s="511" t="s">
        <v>758</v>
      </c>
      <c r="E11" s="510">
        <v>99000</v>
      </c>
      <c r="F11" s="510">
        <v>107960</v>
      </c>
      <c r="G11" s="123">
        <v>103313.75</v>
      </c>
    </row>
    <row r="12" spans="2:11" s="131" customFormat="1" x14ac:dyDescent="0.25">
      <c r="B12" s="509"/>
      <c r="C12" s="215" t="s">
        <v>759</v>
      </c>
      <c r="D12" s="511" t="s">
        <v>760</v>
      </c>
      <c r="E12" s="510">
        <v>0</v>
      </c>
      <c r="F12" s="510">
        <v>30306</v>
      </c>
      <c r="G12" s="123">
        <v>30063.81</v>
      </c>
    </row>
    <row r="13" spans="2:11" s="131" customFormat="1" x14ac:dyDescent="0.25">
      <c r="B13" s="512" t="s">
        <v>761</v>
      </c>
      <c r="C13" s="724" t="s">
        <v>762</v>
      </c>
      <c r="D13" s="724"/>
      <c r="E13" s="241">
        <f>E14</f>
        <v>8300</v>
      </c>
      <c r="F13" s="241">
        <f>F14</f>
        <v>8300</v>
      </c>
      <c r="G13" s="261">
        <f>G14</f>
        <v>7200</v>
      </c>
    </row>
    <row r="14" spans="2:11" s="131" customFormat="1" x14ac:dyDescent="0.25">
      <c r="B14" s="509"/>
      <c r="C14" s="215" t="s">
        <v>763</v>
      </c>
      <c r="D14" s="352" t="s">
        <v>764</v>
      </c>
      <c r="E14" s="510">
        <v>8300</v>
      </c>
      <c r="F14" s="510">
        <v>8300</v>
      </c>
      <c r="G14" s="123">
        <v>7200</v>
      </c>
    </row>
    <row r="15" spans="2:11" s="131" customFormat="1" x14ac:dyDescent="0.25">
      <c r="B15" s="512" t="s">
        <v>765</v>
      </c>
      <c r="C15" s="724" t="s">
        <v>766</v>
      </c>
      <c r="D15" s="724"/>
      <c r="E15" s="241">
        <f>SUM(E16:E17)</f>
        <v>1241790</v>
      </c>
      <c r="F15" s="241">
        <f>SUM(F16:F17)</f>
        <v>1246190</v>
      </c>
      <c r="G15" s="261">
        <f>SUM(G16:G17)</f>
        <v>1201702.1499999999</v>
      </c>
    </row>
    <row r="16" spans="2:11" s="131" customFormat="1" x14ac:dyDescent="0.25">
      <c r="B16" s="509"/>
      <c r="C16" s="215" t="s">
        <v>767</v>
      </c>
      <c r="D16" s="352" t="s">
        <v>768</v>
      </c>
      <c r="E16" s="510">
        <v>1223320</v>
      </c>
      <c r="F16" s="510">
        <v>1223320</v>
      </c>
      <c r="G16" s="123">
        <v>1181145.1399999999</v>
      </c>
    </row>
    <row r="17" spans="2:7" s="131" customFormat="1" x14ac:dyDescent="0.25">
      <c r="B17" s="509"/>
      <c r="C17" s="215" t="s">
        <v>769</v>
      </c>
      <c r="D17" s="352" t="s">
        <v>770</v>
      </c>
      <c r="E17" s="510">
        <v>18470</v>
      </c>
      <c r="F17" s="510">
        <v>22870</v>
      </c>
      <c r="G17" s="123">
        <v>20557.009999999998</v>
      </c>
    </row>
    <row r="18" spans="2:7" s="131" customFormat="1" x14ac:dyDescent="0.25">
      <c r="B18" s="512" t="s">
        <v>771</v>
      </c>
      <c r="C18" s="724" t="s">
        <v>772</v>
      </c>
      <c r="D18" s="724"/>
      <c r="E18" s="241">
        <f>SUM(E19:E22)</f>
        <v>3740340</v>
      </c>
      <c r="F18" s="241">
        <f>SUM(F19:F22)</f>
        <v>4654740</v>
      </c>
      <c r="G18" s="261">
        <f>SUM(G19:G22)</f>
        <v>4007464.2699999996</v>
      </c>
    </row>
    <row r="19" spans="2:7" s="131" customFormat="1" x14ac:dyDescent="0.25">
      <c r="B19" s="509"/>
      <c r="C19" s="215" t="s">
        <v>773</v>
      </c>
      <c r="D19" s="352" t="s">
        <v>774</v>
      </c>
      <c r="E19" s="510">
        <v>118520</v>
      </c>
      <c r="F19" s="510">
        <v>130520</v>
      </c>
      <c r="G19" s="123">
        <v>117694.29</v>
      </c>
    </row>
    <row r="20" spans="2:7" s="131" customFormat="1" x14ac:dyDescent="0.25">
      <c r="B20" s="514"/>
      <c r="C20" s="215" t="s">
        <v>775</v>
      </c>
      <c r="D20" s="215" t="s">
        <v>776</v>
      </c>
      <c r="E20" s="510">
        <v>165300</v>
      </c>
      <c r="F20" s="515">
        <v>161300</v>
      </c>
      <c r="G20" s="123">
        <v>121028.76</v>
      </c>
    </row>
    <row r="21" spans="2:7" s="131" customFormat="1" x14ac:dyDescent="0.25">
      <c r="B21" s="509"/>
      <c r="C21" s="215" t="s">
        <v>777</v>
      </c>
      <c r="D21" s="352" t="s">
        <v>778</v>
      </c>
      <c r="E21" s="510">
        <v>3415000</v>
      </c>
      <c r="F21" s="515">
        <v>4321400</v>
      </c>
      <c r="G21" s="123">
        <v>3727830.67</v>
      </c>
    </row>
    <row r="22" spans="2:7" s="131" customFormat="1" x14ac:dyDescent="0.25">
      <c r="B22" s="509"/>
      <c r="C22" s="215" t="s">
        <v>779</v>
      </c>
      <c r="D22" s="352" t="s">
        <v>780</v>
      </c>
      <c r="E22" s="510">
        <v>41520</v>
      </c>
      <c r="F22" s="515">
        <v>41520</v>
      </c>
      <c r="G22" s="123">
        <v>40910.550000000003</v>
      </c>
    </row>
    <row r="23" spans="2:7" s="131" customFormat="1" x14ac:dyDescent="0.25">
      <c r="B23" s="512" t="s">
        <v>781</v>
      </c>
      <c r="C23" s="724" t="s">
        <v>782</v>
      </c>
      <c r="D23" s="724"/>
      <c r="E23" s="241">
        <f>SUM(E24:E25)</f>
        <v>3462100</v>
      </c>
      <c r="F23" s="241">
        <f>SUM(F24:F25)</f>
        <v>2277800</v>
      </c>
      <c r="G23" s="261">
        <f>SUM(G24:G25)</f>
        <v>2273818.2600000002</v>
      </c>
    </row>
    <row r="24" spans="2:7" s="131" customFormat="1" x14ac:dyDescent="0.25">
      <c r="B24" s="509"/>
      <c r="C24" s="215" t="s">
        <v>783</v>
      </c>
      <c r="D24" s="352" t="s">
        <v>784</v>
      </c>
      <c r="E24" s="510">
        <v>3361300</v>
      </c>
      <c r="F24" s="510">
        <v>2251300</v>
      </c>
      <c r="G24" s="123">
        <v>2251299.9900000002</v>
      </c>
    </row>
    <row r="25" spans="2:7" s="131" customFormat="1" x14ac:dyDescent="0.25">
      <c r="B25" s="509"/>
      <c r="C25" s="215" t="s">
        <v>785</v>
      </c>
      <c r="D25" s="352" t="s">
        <v>786</v>
      </c>
      <c r="E25" s="510">
        <v>100800</v>
      </c>
      <c r="F25" s="510">
        <v>26500</v>
      </c>
      <c r="G25" s="123">
        <v>22518.27</v>
      </c>
    </row>
    <row r="26" spans="2:7" s="131" customFormat="1" x14ac:dyDescent="0.25">
      <c r="B26" s="512" t="s">
        <v>787</v>
      </c>
      <c r="C26" s="724" t="s">
        <v>788</v>
      </c>
      <c r="D26" s="724"/>
      <c r="E26" s="241">
        <f>SUM(E27:E30)</f>
        <v>2913010</v>
      </c>
      <c r="F26" s="241">
        <f>SUM(F27:F30)</f>
        <v>2874860</v>
      </c>
      <c r="G26" s="261">
        <f>SUM(G27:G30)</f>
        <v>2493875.37</v>
      </c>
    </row>
    <row r="27" spans="2:7" s="131" customFormat="1" ht="14.25" customHeight="1" x14ac:dyDescent="0.25">
      <c r="B27" s="509"/>
      <c r="C27" s="215" t="s">
        <v>789</v>
      </c>
      <c r="D27" s="352" t="s">
        <v>790</v>
      </c>
      <c r="E27" s="510">
        <v>37450</v>
      </c>
      <c r="F27" s="510">
        <v>37450</v>
      </c>
      <c r="G27" s="123">
        <v>28903.279999999999</v>
      </c>
    </row>
    <row r="28" spans="2:7" s="131" customFormat="1" x14ac:dyDescent="0.25">
      <c r="B28" s="509"/>
      <c r="C28" s="215" t="s">
        <v>791</v>
      </c>
      <c r="D28" s="352" t="s">
        <v>792</v>
      </c>
      <c r="E28" s="510">
        <v>1804585</v>
      </c>
      <c r="F28" s="510">
        <v>1772685</v>
      </c>
      <c r="G28" s="123">
        <v>1558443.42</v>
      </c>
    </row>
    <row r="29" spans="2:7" s="131" customFormat="1" x14ac:dyDescent="0.25">
      <c r="B29" s="509"/>
      <c r="C29" s="215" t="s">
        <v>793</v>
      </c>
      <c r="D29" s="352" t="s">
        <v>794</v>
      </c>
      <c r="E29" s="510">
        <v>569915</v>
      </c>
      <c r="F29" s="510">
        <v>569915</v>
      </c>
      <c r="G29" s="123">
        <v>540334.42000000004</v>
      </c>
    </row>
    <row r="30" spans="2:7" s="131" customFormat="1" x14ac:dyDescent="0.25">
      <c r="B30" s="509"/>
      <c r="C30" s="215" t="s">
        <v>795</v>
      </c>
      <c r="D30" s="352" t="s">
        <v>788</v>
      </c>
      <c r="E30" s="510">
        <v>501060</v>
      </c>
      <c r="F30" s="510">
        <v>494810</v>
      </c>
      <c r="G30" s="123">
        <v>366194.25</v>
      </c>
    </row>
    <row r="31" spans="2:7" s="131" customFormat="1" x14ac:dyDescent="0.25">
      <c r="B31" s="512" t="s">
        <v>796</v>
      </c>
      <c r="C31" s="724" t="s">
        <v>797</v>
      </c>
      <c r="D31" s="724"/>
      <c r="E31" s="241">
        <f>SUM(E32:E36)</f>
        <v>2957751</v>
      </c>
      <c r="F31" s="241">
        <f>SUM(F32:F36)</f>
        <v>3193965</v>
      </c>
      <c r="G31" s="261">
        <f>SUM(G32:G36)</f>
        <v>2902175.3799999994</v>
      </c>
    </row>
    <row r="32" spans="2:7" s="131" customFormat="1" ht="15" customHeight="1" x14ac:dyDescent="0.25">
      <c r="B32" s="509"/>
      <c r="C32" s="215" t="s">
        <v>798</v>
      </c>
      <c r="D32" s="352" t="s">
        <v>799</v>
      </c>
      <c r="E32" s="510">
        <v>2151541</v>
      </c>
      <c r="F32" s="510">
        <v>2272381</v>
      </c>
      <c r="G32" s="123">
        <v>2095087.53</v>
      </c>
    </row>
    <row r="33" spans="2:7" s="131" customFormat="1" x14ac:dyDescent="0.25">
      <c r="B33" s="509"/>
      <c r="C33" s="215" t="s">
        <v>800</v>
      </c>
      <c r="D33" s="352" t="s">
        <v>801</v>
      </c>
      <c r="E33" s="510">
        <v>581200</v>
      </c>
      <c r="F33" s="510">
        <v>669950</v>
      </c>
      <c r="G33" s="123">
        <v>609569.93999999994</v>
      </c>
    </row>
    <row r="34" spans="2:7" s="131" customFormat="1" x14ac:dyDescent="0.25">
      <c r="B34" s="509"/>
      <c r="C34" s="215" t="s">
        <v>802</v>
      </c>
      <c r="D34" s="352" t="s">
        <v>803</v>
      </c>
      <c r="E34" s="510">
        <v>27300</v>
      </c>
      <c r="F34" s="510">
        <v>25300</v>
      </c>
      <c r="G34" s="123">
        <v>17615.63</v>
      </c>
    </row>
    <row r="35" spans="2:7" s="131" customFormat="1" x14ac:dyDescent="0.25">
      <c r="B35" s="509"/>
      <c r="C35" s="215" t="s">
        <v>804</v>
      </c>
      <c r="D35" s="352" t="s">
        <v>805</v>
      </c>
      <c r="E35" s="510">
        <v>191710</v>
      </c>
      <c r="F35" s="510">
        <v>207334</v>
      </c>
      <c r="G35" s="123">
        <v>161491.88</v>
      </c>
    </row>
    <row r="36" spans="2:7" s="131" customFormat="1" x14ac:dyDescent="0.25">
      <c r="B36" s="509"/>
      <c r="C36" s="215" t="s">
        <v>806</v>
      </c>
      <c r="D36" s="352" t="s">
        <v>807</v>
      </c>
      <c r="E36" s="510">
        <v>6000</v>
      </c>
      <c r="F36" s="510">
        <v>19000</v>
      </c>
      <c r="G36" s="123">
        <v>18410.400000000001</v>
      </c>
    </row>
    <row r="37" spans="2:7" s="131" customFormat="1" x14ac:dyDescent="0.25">
      <c r="B37" s="512" t="s">
        <v>808</v>
      </c>
      <c r="C37" s="724" t="s">
        <v>809</v>
      </c>
      <c r="D37" s="724"/>
      <c r="E37" s="241">
        <f>SUM(E38:E46)</f>
        <v>17882500</v>
      </c>
      <c r="F37" s="241">
        <f>SUM(F38:F46)</f>
        <v>18214835</v>
      </c>
      <c r="G37" s="261">
        <f>SUM(G38:G46)</f>
        <v>18201529.800000001</v>
      </c>
    </row>
    <row r="38" spans="2:7" s="131" customFormat="1" ht="25.5" x14ac:dyDescent="0.25">
      <c r="B38" s="509"/>
      <c r="C38" s="215" t="s">
        <v>810</v>
      </c>
      <c r="D38" s="352" t="s">
        <v>811</v>
      </c>
      <c r="E38" s="510">
        <v>4333472</v>
      </c>
      <c r="F38" s="510">
        <v>4330159</v>
      </c>
      <c r="G38" s="123">
        <v>4321197.9400000004</v>
      </c>
    </row>
    <row r="39" spans="2:7" s="131" customFormat="1" ht="20.25" customHeight="1" x14ac:dyDescent="0.25">
      <c r="B39" s="509"/>
      <c r="C39" s="215" t="s">
        <v>812</v>
      </c>
      <c r="D39" s="352" t="s">
        <v>813</v>
      </c>
      <c r="E39" s="510">
        <v>3463233</v>
      </c>
      <c r="F39" s="510">
        <v>3325542</v>
      </c>
      <c r="G39" s="123">
        <v>3273900.01</v>
      </c>
    </row>
    <row r="40" spans="2:7" s="131" customFormat="1" ht="25.5" x14ac:dyDescent="0.25">
      <c r="B40" s="509"/>
      <c r="C40" s="215" t="s">
        <v>814</v>
      </c>
      <c r="D40" s="352" t="s">
        <v>815</v>
      </c>
      <c r="E40" s="510">
        <v>4788070</v>
      </c>
      <c r="F40" s="510">
        <v>4995393</v>
      </c>
      <c r="G40" s="123">
        <v>4964743.66</v>
      </c>
    </row>
    <row r="41" spans="2:7" s="131" customFormat="1" x14ac:dyDescent="0.25">
      <c r="B41" s="509"/>
      <c r="C41" s="215" t="s">
        <v>816</v>
      </c>
      <c r="D41" s="215" t="s">
        <v>817</v>
      </c>
      <c r="E41" s="510">
        <v>2750212</v>
      </c>
      <c r="F41" s="510">
        <v>2813338</v>
      </c>
      <c r="G41" s="123">
        <v>2795548.6</v>
      </c>
    </row>
    <row r="42" spans="2:7" s="131" customFormat="1" x14ac:dyDescent="0.25">
      <c r="B42" s="509"/>
      <c r="C42" s="215" t="s">
        <v>818</v>
      </c>
      <c r="D42" s="352" t="s">
        <v>819</v>
      </c>
      <c r="E42" s="510">
        <v>187080</v>
      </c>
      <c r="F42" s="510">
        <v>195458</v>
      </c>
      <c r="G42" s="123">
        <v>191614.48</v>
      </c>
    </row>
    <row r="43" spans="2:7" s="131" customFormat="1" ht="12.75" customHeight="1" x14ac:dyDescent="0.25">
      <c r="B43" s="509"/>
      <c r="C43" s="215" t="s">
        <v>820</v>
      </c>
      <c r="D43" s="352" t="s">
        <v>819</v>
      </c>
      <c r="E43" s="510">
        <v>828544</v>
      </c>
      <c r="F43" s="510">
        <v>842434</v>
      </c>
      <c r="G43" s="123">
        <v>853950.28</v>
      </c>
    </row>
    <row r="44" spans="2:7" s="131" customFormat="1" ht="12" customHeight="1" x14ac:dyDescent="0.25">
      <c r="B44" s="509"/>
      <c r="C44" s="215" t="s">
        <v>821</v>
      </c>
      <c r="D44" s="352" t="s">
        <v>822</v>
      </c>
      <c r="E44" s="510">
        <v>650706</v>
      </c>
      <c r="F44" s="510">
        <v>684027</v>
      </c>
      <c r="G44" s="123">
        <v>701358.8</v>
      </c>
    </row>
    <row r="45" spans="2:7" s="131" customFormat="1" ht="15.75" customHeight="1" x14ac:dyDescent="0.25">
      <c r="B45" s="509"/>
      <c r="C45" s="215" t="s">
        <v>823</v>
      </c>
      <c r="D45" s="352" t="s">
        <v>824</v>
      </c>
      <c r="E45" s="510">
        <v>824751</v>
      </c>
      <c r="F45" s="510">
        <v>968732</v>
      </c>
      <c r="G45" s="123">
        <v>1042745.16</v>
      </c>
    </row>
    <row r="46" spans="2:7" s="131" customFormat="1" x14ac:dyDescent="0.25">
      <c r="B46" s="509"/>
      <c r="C46" s="215" t="s">
        <v>825</v>
      </c>
      <c r="D46" s="352" t="s">
        <v>826</v>
      </c>
      <c r="E46" s="510">
        <v>56432</v>
      </c>
      <c r="F46" s="510">
        <v>59752</v>
      </c>
      <c r="G46" s="123">
        <v>56470.87</v>
      </c>
    </row>
    <row r="47" spans="2:7" s="131" customFormat="1" x14ac:dyDescent="0.25">
      <c r="B47" s="512">
        <v>10</v>
      </c>
      <c r="C47" s="724" t="s">
        <v>827</v>
      </c>
      <c r="D47" s="724"/>
      <c r="E47" s="241">
        <f>SUM(E48:E52)</f>
        <v>3295090</v>
      </c>
      <c r="F47" s="241">
        <f>SUM(F48:F52)</f>
        <v>3355453</v>
      </c>
      <c r="G47" s="261">
        <f>SUM(G48:G52)</f>
        <v>3285046.9</v>
      </c>
    </row>
    <row r="48" spans="2:7" s="131" customFormat="1" x14ac:dyDescent="0.25">
      <c r="B48" s="516"/>
      <c r="C48" s="215" t="s">
        <v>828</v>
      </c>
      <c r="D48" s="352" t="s">
        <v>829</v>
      </c>
      <c r="E48" s="510">
        <v>2044810</v>
      </c>
      <c r="F48" s="510">
        <v>2046667</v>
      </c>
      <c r="G48" s="123">
        <v>2027795.81</v>
      </c>
    </row>
    <row r="49" spans="2:11" s="131" customFormat="1" x14ac:dyDescent="0.25">
      <c r="B49" s="509"/>
      <c r="C49" s="215" t="s">
        <v>830</v>
      </c>
      <c r="D49" s="352" t="s">
        <v>831</v>
      </c>
      <c r="E49" s="510">
        <v>637598</v>
      </c>
      <c r="F49" s="510">
        <v>657825</v>
      </c>
      <c r="G49" s="123">
        <v>636002.42000000004</v>
      </c>
    </row>
    <row r="50" spans="2:11" s="131" customFormat="1" x14ac:dyDescent="0.25">
      <c r="B50" s="509"/>
      <c r="C50" s="215" t="s">
        <v>832</v>
      </c>
      <c r="D50" s="352" t="s">
        <v>833</v>
      </c>
      <c r="E50" s="510">
        <v>264135</v>
      </c>
      <c r="F50" s="510">
        <v>279618</v>
      </c>
      <c r="G50" s="123">
        <v>264609.59999999998</v>
      </c>
    </row>
    <row r="51" spans="2:11" s="131" customFormat="1" ht="25.5" x14ac:dyDescent="0.25">
      <c r="B51" s="509"/>
      <c r="C51" s="215" t="s">
        <v>834</v>
      </c>
      <c r="D51" s="352" t="s">
        <v>835</v>
      </c>
      <c r="E51" s="510">
        <v>136009</v>
      </c>
      <c r="F51" s="510">
        <v>141658</v>
      </c>
      <c r="G51" s="123">
        <v>128540.01</v>
      </c>
    </row>
    <row r="52" spans="2:11" s="131" customFormat="1" ht="13.5" thickBot="1" x14ac:dyDescent="0.3">
      <c r="B52" s="517"/>
      <c r="C52" s="518" t="s">
        <v>836</v>
      </c>
      <c r="D52" s="518" t="s">
        <v>837</v>
      </c>
      <c r="E52" s="519">
        <v>212538</v>
      </c>
      <c r="F52" s="519">
        <v>229685</v>
      </c>
      <c r="G52" s="520">
        <v>228099.06</v>
      </c>
    </row>
    <row r="53" spans="2:11" s="131" customFormat="1" x14ac:dyDescent="0.2">
      <c r="B53" s="27"/>
      <c r="C53" s="521"/>
      <c r="D53" s="27"/>
      <c r="E53" s="27"/>
      <c r="F53" s="27"/>
      <c r="G53" s="27"/>
    </row>
    <row r="54" spans="2:11" s="131" customFormat="1" x14ac:dyDescent="0.2">
      <c r="B54" s="27"/>
      <c r="C54" s="521"/>
      <c r="D54" s="27"/>
      <c r="E54" s="27"/>
      <c r="F54" s="152"/>
      <c r="G54" s="152"/>
    </row>
    <row r="55" spans="2:11" s="131" customFormat="1" x14ac:dyDescent="0.2">
      <c r="B55" s="27"/>
      <c r="C55" s="521"/>
      <c r="D55" s="27"/>
      <c r="E55" s="27"/>
      <c r="F55" s="27"/>
      <c r="G55" s="152"/>
    </row>
    <row r="56" spans="2:11" s="131" customFormat="1" x14ac:dyDescent="0.2">
      <c r="B56" s="27"/>
      <c r="C56" s="521"/>
      <c r="D56" s="27"/>
      <c r="E56" s="27"/>
      <c r="F56" s="27"/>
      <c r="G56" s="27"/>
    </row>
    <row r="57" spans="2:11" s="131" customFormat="1" ht="26.25" customHeight="1" x14ac:dyDescent="0.2">
      <c r="B57" s="27"/>
      <c r="C57" s="521"/>
      <c r="D57" s="27"/>
      <c r="E57" s="27"/>
      <c r="F57" s="27"/>
      <c r="G57" s="27"/>
    </row>
    <row r="58" spans="2:11" s="131" customFormat="1" x14ac:dyDescent="0.2">
      <c r="B58" s="27"/>
      <c r="C58" s="521"/>
      <c r="D58" s="27"/>
      <c r="E58" s="27"/>
      <c r="F58" s="219"/>
      <c r="G58" s="27"/>
    </row>
    <row r="59" spans="2:11" s="131" customFormat="1" x14ac:dyDescent="0.2">
      <c r="B59" s="27"/>
      <c r="C59" s="521"/>
      <c r="D59" s="27"/>
      <c r="E59" s="27"/>
      <c r="F59" s="219"/>
      <c r="G59" s="27"/>
    </row>
    <row r="60" spans="2:11" customFormat="1" ht="15" x14ac:dyDescent="0.25">
      <c r="B60" s="27"/>
      <c r="C60" s="521"/>
      <c r="D60" s="27"/>
      <c r="E60" s="27"/>
      <c r="F60" s="219"/>
      <c r="G60" s="27"/>
      <c r="H60" s="27"/>
      <c r="I60" s="27"/>
      <c r="J60" s="27"/>
      <c r="K60" s="27"/>
    </row>
    <row r="61" spans="2:11" customFormat="1" ht="15" x14ac:dyDescent="0.25">
      <c r="B61" s="27"/>
      <c r="C61" s="521"/>
      <c r="D61" s="27"/>
      <c r="E61" s="27"/>
      <c r="F61" s="219"/>
      <c r="G61" s="27"/>
      <c r="H61" s="27"/>
      <c r="I61" s="27"/>
      <c r="J61" s="27"/>
      <c r="K61" s="27"/>
    </row>
    <row r="62" spans="2:11" customFormat="1" ht="15" x14ac:dyDescent="0.25">
      <c r="B62" s="27"/>
      <c r="C62" s="521"/>
      <c r="D62" s="27"/>
      <c r="E62" s="27"/>
      <c r="F62" s="219"/>
      <c r="G62" s="27"/>
      <c r="H62" s="27"/>
      <c r="I62" s="27"/>
      <c r="J62" s="27"/>
      <c r="K62" s="27"/>
    </row>
    <row r="63" spans="2:11" customFormat="1" ht="15" x14ac:dyDescent="0.25">
      <c r="B63" s="27"/>
      <c r="C63" s="521"/>
      <c r="D63" s="27"/>
      <c r="E63" s="27"/>
      <c r="F63" s="522"/>
      <c r="G63" s="27"/>
      <c r="H63" s="27"/>
      <c r="I63" s="27"/>
      <c r="J63" s="27"/>
      <c r="K63" s="27"/>
    </row>
  </sheetData>
  <mergeCells count="12">
    <mergeCell ref="C47:D47"/>
    <mergeCell ref="B3:G3"/>
    <mergeCell ref="B5:D5"/>
    <mergeCell ref="B6:D6"/>
    <mergeCell ref="C7:D7"/>
    <mergeCell ref="C13:D13"/>
    <mergeCell ref="C15:D15"/>
    <mergeCell ref="C18:D18"/>
    <mergeCell ref="C23:D23"/>
    <mergeCell ref="C26:D26"/>
    <mergeCell ref="C31:D31"/>
    <mergeCell ref="C37:D37"/>
  </mergeCells>
  <pageMargins left="0.55118110236220497" right="0.19685039370078702" top="0.70866141732283405" bottom="0.39370078740157516" header="0.27559055118110198" footer="0.31496062992126012"/>
  <pageSetup paperSize="9" scale="97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/>
  </sheetViews>
  <sheetFormatPr defaultRowHeight="12.75" x14ac:dyDescent="0.2"/>
  <cols>
    <col min="1" max="1" width="2.5703125" style="27" customWidth="1"/>
    <col min="2" max="2" width="3.42578125" style="27" customWidth="1"/>
    <col min="3" max="3" width="8.7109375" style="27" customWidth="1"/>
    <col min="4" max="4" width="33.140625" style="27" customWidth="1"/>
    <col min="5" max="5" width="14.42578125" style="27" customWidth="1"/>
    <col min="6" max="6" width="14.5703125" style="27" customWidth="1"/>
    <col min="7" max="7" width="16" style="27" customWidth="1"/>
    <col min="8" max="8" width="8.85546875" style="27" customWidth="1"/>
    <col min="9" max="9" width="9.140625" style="27" customWidth="1"/>
    <col min="10" max="16384" width="9.140625" style="27"/>
  </cols>
  <sheetData>
    <row r="2" spans="2:7" ht="14.25" x14ac:dyDescent="0.2">
      <c r="C2" s="67"/>
      <c r="D2" s="523"/>
      <c r="E2" s="505"/>
      <c r="F2" s="505"/>
      <c r="G2" s="500" t="s">
        <v>838</v>
      </c>
    </row>
    <row r="3" spans="2:7" ht="14.25" x14ac:dyDescent="0.2">
      <c r="C3" s="67"/>
      <c r="D3" s="523"/>
      <c r="E3" s="67"/>
      <c r="F3" s="67"/>
      <c r="G3" s="505"/>
    </row>
    <row r="4" spans="2:7" ht="18" x14ac:dyDescent="0.2">
      <c r="B4" s="655" t="s">
        <v>839</v>
      </c>
      <c r="C4" s="655"/>
      <c r="D4" s="655"/>
      <c r="E4" s="655"/>
      <c r="F4" s="655"/>
      <c r="G4" s="655"/>
    </row>
    <row r="5" spans="2:7" ht="21" thickBot="1" x14ac:dyDescent="0.25">
      <c r="C5" s="524"/>
      <c r="D5" s="524"/>
      <c r="E5" s="524"/>
      <c r="F5" s="524"/>
      <c r="G5" s="524"/>
    </row>
    <row r="6" spans="2:7" ht="30" customHeight="1" x14ac:dyDescent="0.2">
      <c r="B6" s="725" t="s">
        <v>1</v>
      </c>
      <c r="C6" s="725"/>
      <c r="D6" s="725"/>
      <c r="E6" s="501" t="s">
        <v>745</v>
      </c>
      <c r="F6" s="501" t="s">
        <v>746</v>
      </c>
      <c r="G6" s="502" t="s">
        <v>747</v>
      </c>
    </row>
    <row r="7" spans="2:7" s="67" customFormat="1" ht="17.25" customHeight="1" thickBot="1" x14ac:dyDescent="0.3">
      <c r="B7" s="726" t="s">
        <v>840</v>
      </c>
      <c r="C7" s="726"/>
      <c r="D7" s="726"/>
      <c r="E7" s="503">
        <f>E8+E12+E15+E18+E23+E27+E10+E33</f>
        <v>14161554</v>
      </c>
      <c r="F7" s="503">
        <f>F8+F12+F15+F18+F23+F27+F10+F33</f>
        <v>20114349</v>
      </c>
      <c r="G7" s="504">
        <f>G8+G12+G15+G18+G23+G27+G10+G33</f>
        <v>13573458.9</v>
      </c>
    </row>
    <row r="8" spans="2:7" ht="12.75" customHeight="1" thickTop="1" x14ac:dyDescent="0.2">
      <c r="B8" s="525" t="s">
        <v>749</v>
      </c>
      <c r="C8" s="729" t="s">
        <v>750</v>
      </c>
      <c r="D8" s="729"/>
      <c r="E8" s="212">
        <f>E9</f>
        <v>817012</v>
      </c>
      <c r="F8" s="212">
        <f>F9</f>
        <v>721740</v>
      </c>
      <c r="G8" s="526">
        <f>G9</f>
        <v>560422.46</v>
      </c>
    </row>
    <row r="9" spans="2:7" ht="15" customHeight="1" x14ac:dyDescent="0.2">
      <c r="B9" s="527"/>
      <c r="C9" s="528" t="s">
        <v>751</v>
      </c>
      <c r="D9" s="352" t="s">
        <v>752</v>
      </c>
      <c r="E9" s="510">
        <v>817012</v>
      </c>
      <c r="F9" s="510">
        <v>721740</v>
      </c>
      <c r="G9" s="123">
        <v>560422.46</v>
      </c>
    </row>
    <row r="10" spans="2:7" ht="12.75" customHeight="1" x14ac:dyDescent="0.2">
      <c r="B10" s="512" t="s">
        <v>765</v>
      </c>
      <c r="C10" s="724" t="s">
        <v>766</v>
      </c>
      <c r="D10" s="724"/>
      <c r="E10" s="241">
        <f>E11</f>
        <v>77500</v>
      </c>
      <c r="F10" s="241">
        <f>F11</f>
        <v>80883</v>
      </c>
      <c r="G10" s="261">
        <f>G11</f>
        <v>15909</v>
      </c>
    </row>
    <row r="11" spans="2:7" x14ac:dyDescent="0.2">
      <c r="B11" s="509"/>
      <c r="C11" s="529" t="s">
        <v>767</v>
      </c>
      <c r="D11" s="352" t="s">
        <v>768</v>
      </c>
      <c r="E11" s="9">
        <v>77500</v>
      </c>
      <c r="F11" s="9">
        <v>80883</v>
      </c>
      <c r="G11" s="32">
        <v>15909</v>
      </c>
    </row>
    <row r="12" spans="2:7" x14ac:dyDescent="0.2">
      <c r="B12" s="530" t="s">
        <v>771</v>
      </c>
      <c r="C12" s="728" t="s">
        <v>772</v>
      </c>
      <c r="D12" s="728"/>
      <c r="E12" s="214">
        <f>E13+E14</f>
        <v>6486421</v>
      </c>
      <c r="F12" s="214">
        <f>F13+F14</f>
        <v>7488356</v>
      </c>
      <c r="G12" s="532">
        <f>G13+G14</f>
        <v>4182161.78</v>
      </c>
    </row>
    <row r="13" spans="2:7" customFormat="1" ht="12.75" customHeight="1" x14ac:dyDescent="0.25">
      <c r="B13" s="533"/>
      <c r="C13" s="528" t="s">
        <v>775</v>
      </c>
      <c r="D13" s="215" t="s">
        <v>776</v>
      </c>
      <c r="E13" s="515">
        <v>105000</v>
      </c>
      <c r="F13" s="515">
        <v>88000</v>
      </c>
      <c r="G13" s="126">
        <v>7324.8</v>
      </c>
    </row>
    <row r="14" spans="2:7" customFormat="1" ht="15" x14ac:dyDescent="0.25">
      <c r="B14" s="527"/>
      <c r="C14" s="534" t="s">
        <v>777</v>
      </c>
      <c r="D14" s="535" t="s">
        <v>778</v>
      </c>
      <c r="E14" s="515">
        <v>6381421</v>
      </c>
      <c r="F14" s="515">
        <v>7400356</v>
      </c>
      <c r="G14" s="126">
        <v>4174836.98</v>
      </c>
    </row>
    <row r="15" spans="2:7" customFormat="1" ht="12.75" customHeight="1" x14ac:dyDescent="0.25">
      <c r="B15" s="530" t="s">
        <v>781</v>
      </c>
      <c r="C15" s="728" t="s">
        <v>782</v>
      </c>
      <c r="D15" s="728"/>
      <c r="E15" s="214">
        <f>E16+E17</f>
        <v>411060</v>
      </c>
      <c r="F15" s="214">
        <f>F16+F17</f>
        <v>551860</v>
      </c>
      <c r="G15" s="532">
        <f>G16+G17</f>
        <v>412969.72000000003</v>
      </c>
    </row>
    <row r="16" spans="2:7" customFormat="1" ht="15" x14ac:dyDescent="0.25">
      <c r="B16" s="527"/>
      <c r="C16" s="534" t="s">
        <v>783</v>
      </c>
      <c r="D16" s="535" t="s">
        <v>784</v>
      </c>
      <c r="E16" s="9">
        <v>405060</v>
      </c>
      <c r="F16" s="9">
        <v>460860</v>
      </c>
      <c r="G16" s="32">
        <v>408183.52</v>
      </c>
    </row>
    <row r="17" spans="2:7" customFormat="1" ht="15" x14ac:dyDescent="0.25">
      <c r="B17" s="527"/>
      <c r="C17" s="528" t="s">
        <v>785</v>
      </c>
      <c r="D17" s="352" t="s">
        <v>786</v>
      </c>
      <c r="E17" s="510">
        <v>6000</v>
      </c>
      <c r="F17" s="510">
        <v>91000</v>
      </c>
      <c r="G17" s="123">
        <v>4786.2</v>
      </c>
    </row>
    <row r="18" spans="2:7" customFormat="1" ht="15" x14ac:dyDescent="0.25">
      <c r="B18" s="530" t="s">
        <v>787</v>
      </c>
      <c r="C18" s="728" t="s">
        <v>788</v>
      </c>
      <c r="D18" s="728"/>
      <c r="E18" s="214">
        <f>SUM(E19:E22)</f>
        <v>2633081</v>
      </c>
      <c r="F18" s="214">
        <f>SUM(F19:F22)</f>
        <v>4477956</v>
      </c>
      <c r="G18" s="532">
        <f>SUM(G19:G22)</f>
        <v>3819358.0100000002</v>
      </c>
    </row>
    <row r="19" spans="2:7" customFormat="1" ht="15" x14ac:dyDescent="0.25">
      <c r="B19" s="527"/>
      <c r="C19" s="528" t="s">
        <v>789</v>
      </c>
      <c r="D19" s="352" t="s">
        <v>790</v>
      </c>
      <c r="E19" s="510">
        <v>2353615</v>
      </c>
      <c r="F19" s="510">
        <v>3538555</v>
      </c>
      <c r="G19" s="123">
        <v>3123834.31</v>
      </c>
    </row>
    <row r="20" spans="2:7" customFormat="1" ht="12.75" customHeight="1" x14ac:dyDescent="0.25">
      <c r="B20" s="527"/>
      <c r="C20" s="534" t="s">
        <v>791</v>
      </c>
      <c r="D20" s="535" t="s">
        <v>792</v>
      </c>
      <c r="E20" s="9">
        <v>271916</v>
      </c>
      <c r="F20" s="9">
        <v>853991</v>
      </c>
      <c r="G20" s="32">
        <v>670253.1</v>
      </c>
    </row>
    <row r="21" spans="2:7" customFormat="1" ht="15" x14ac:dyDescent="0.25">
      <c r="B21" s="527"/>
      <c r="C21" s="534" t="s">
        <v>793</v>
      </c>
      <c r="D21" s="535" t="s">
        <v>794</v>
      </c>
      <c r="E21" s="9">
        <v>7550</v>
      </c>
      <c r="F21" s="9">
        <v>44410</v>
      </c>
      <c r="G21" s="32">
        <v>24754.6</v>
      </c>
    </row>
    <row r="22" spans="2:7" customFormat="1" ht="15" x14ac:dyDescent="0.25">
      <c r="B22" s="527"/>
      <c r="C22" s="528" t="s">
        <v>795</v>
      </c>
      <c r="D22" s="352" t="s">
        <v>788</v>
      </c>
      <c r="E22" s="510">
        <v>0</v>
      </c>
      <c r="F22" s="510">
        <v>41000</v>
      </c>
      <c r="G22" s="123">
        <v>516</v>
      </c>
    </row>
    <row r="23" spans="2:7" customFormat="1" ht="16.5" customHeight="1" x14ac:dyDescent="0.25">
      <c r="B23" s="512" t="s">
        <v>796</v>
      </c>
      <c r="C23" s="724" t="s">
        <v>797</v>
      </c>
      <c r="D23" s="724"/>
      <c r="E23" s="241">
        <f>SUM(E24:E26)</f>
        <v>1035815</v>
      </c>
      <c r="F23" s="241">
        <f>SUM(F24:F26)</f>
        <v>3066590</v>
      </c>
      <c r="G23" s="261">
        <f>SUM(G24:G26)</f>
        <v>1822672.1999999997</v>
      </c>
    </row>
    <row r="24" spans="2:7" customFormat="1" ht="15" x14ac:dyDescent="0.25">
      <c r="B24" s="527"/>
      <c r="C24" s="534" t="s">
        <v>798</v>
      </c>
      <c r="D24" s="535" t="s">
        <v>799</v>
      </c>
      <c r="E24" s="9">
        <v>970495</v>
      </c>
      <c r="F24" s="9">
        <v>2971550</v>
      </c>
      <c r="G24" s="32">
        <v>1788184.13</v>
      </c>
    </row>
    <row r="25" spans="2:7" customFormat="1" ht="15" x14ac:dyDescent="0.25">
      <c r="B25" s="509"/>
      <c r="C25" s="528" t="s">
        <v>800</v>
      </c>
      <c r="D25" s="352" t="s">
        <v>841</v>
      </c>
      <c r="E25" s="9">
        <v>37320</v>
      </c>
      <c r="F25" s="9">
        <v>77040</v>
      </c>
      <c r="G25" s="32">
        <v>28031.42</v>
      </c>
    </row>
    <row r="26" spans="2:7" customFormat="1" ht="15" x14ac:dyDescent="0.25">
      <c r="B26" s="527"/>
      <c r="C26" s="534" t="s">
        <v>804</v>
      </c>
      <c r="D26" s="535" t="s">
        <v>842</v>
      </c>
      <c r="E26" s="9">
        <v>28000</v>
      </c>
      <c r="F26" s="9">
        <v>18000</v>
      </c>
      <c r="G26" s="32">
        <v>6456.65</v>
      </c>
    </row>
    <row r="27" spans="2:7" customFormat="1" ht="21.75" customHeight="1" x14ac:dyDescent="0.25">
      <c r="B27" s="512" t="s">
        <v>808</v>
      </c>
      <c r="C27" s="724" t="s">
        <v>809</v>
      </c>
      <c r="D27" s="724"/>
      <c r="E27" s="241">
        <f>SUM(E28:E32)</f>
        <v>2693665</v>
      </c>
      <c r="F27" s="241">
        <f>SUM(F28:F32)</f>
        <v>3685444</v>
      </c>
      <c r="G27" s="261">
        <f>SUM(G28:G32)</f>
        <v>2724839.7300000004</v>
      </c>
    </row>
    <row r="28" spans="2:7" customFormat="1" ht="28.5" customHeight="1" x14ac:dyDescent="0.25">
      <c r="B28" s="527"/>
      <c r="C28" s="352" t="s">
        <v>810</v>
      </c>
      <c r="D28" s="215" t="s">
        <v>811</v>
      </c>
      <c r="E28" s="510">
        <v>2221555</v>
      </c>
      <c r="F28" s="510">
        <v>3162969</v>
      </c>
      <c r="G28" s="123">
        <v>2236219.66</v>
      </c>
    </row>
    <row r="29" spans="2:7" customFormat="1" ht="25.5" x14ac:dyDescent="0.25">
      <c r="B29" s="536"/>
      <c r="C29" s="368" t="s">
        <v>814</v>
      </c>
      <c r="D29" s="352" t="s">
        <v>815</v>
      </c>
      <c r="E29" s="510">
        <v>472110</v>
      </c>
      <c r="F29" s="510">
        <v>474679</v>
      </c>
      <c r="G29" s="123">
        <v>452741.42</v>
      </c>
    </row>
    <row r="30" spans="2:7" customFormat="1" ht="25.5" x14ac:dyDescent="0.25">
      <c r="B30" s="527"/>
      <c r="C30" s="352" t="s">
        <v>843</v>
      </c>
      <c r="D30" s="215" t="s">
        <v>844</v>
      </c>
      <c r="E30" s="510">
        <v>0</v>
      </c>
      <c r="F30" s="510">
        <v>37230</v>
      </c>
      <c r="G30" s="123">
        <v>25313.45</v>
      </c>
    </row>
    <row r="31" spans="2:7" customFormat="1" ht="15" x14ac:dyDescent="0.25">
      <c r="B31" s="536"/>
      <c r="C31" s="368" t="s">
        <v>821</v>
      </c>
      <c r="D31" s="537" t="s">
        <v>845</v>
      </c>
      <c r="E31" s="538">
        <v>0</v>
      </c>
      <c r="F31" s="538">
        <v>2666</v>
      </c>
      <c r="G31" s="539">
        <v>2665.2</v>
      </c>
    </row>
    <row r="32" spans="2:7" customFormat="1" ht="15" x14ac:dyDescent="0.25">
      <c r="B32" s="536"/>
      <c r="C32" s="537" t="s">
        <v>823</v>
      </c>
      <c r="D32" s="368" t="s">
        <v>824</v>
      </c>
      <c r="E32" s="538">
        <v>0</v>
      </c>
      <c r="F32" s="538">
        <v>7900</v>
      </c>
      <c r="G32" s="539">
        <v>7900</v>
      </c>
    </row>
    <row r="33" spans="2:7" customFormat="1" ht="15" x14ac:dyDescent="0.25">
      <c r="B33" s="512" t="s">
        <v>846</v>
      </c>
      <c r="C33" s="724" t="s">
        <v>827</v>
      </c>
      <c r="D33" s="724"/>
      <c r="E33" s="241">
        <f>E34+E35</f>
        <v>7000</v>
      </c>
      <c r="F33" s="241">
        <f>F34+F35</f>
        <v>41520</v>
      </c>
      <c r="G33" s="241">
        <f>G34+G35</f>
        <v>35126</v>
      </c>
    </row>
    <row r="34" spans="2:7" customFormat="1" ht="25.5" x14ac:dyDescent="0.25">
      <c r="B34" s="527"/>
      <c r="C34" s="528" t="s">
        <v>834</v>
      </c>
      <c r="D34" s="352" t="s">
        <v>847</v>
      </c>
      <c r="E34" s="510">
        <v>0</v>
      </c>
      <c r="F34" s="510">
        <v>10500</v>
      </c>
      <c r="G34" s="123">
        <v>4990</v>
      </c>
    </row>
    <row r="35" spans="2:7" customFormat="1" ht="26.25" thickBot="1" x14ac:dyDescent="0.3">
      <c r="B35" s="540"/>
      <c r="C35" s="541" t="s">
        <v>828</v>
      </c>
      <c r="D35" s="542" t="s">
        <v>848</v>
      </c>
      <c r="E35" s="519">
        <v>7000</v>
      </c>
      <c r="F35" s="519">
        <v>31020</v>
      </c>
      <c r="G35" s="520">
        <v>30136</v>
      </c>
    </row>
    <row r="37" spans="2:7" customFormat="1" ht="15" x14ac:dyDescent="0.25">
      <c r="B37" s="27"/>
      <c r="C37" s="27"/>
      <c r="D37" s="27"/>
      <c r="E37" s="27"/>
      <c r="F37" s="152"/>
      <c r="G37" s="27"/>
    </row>
    <row r="38" spans="2:7" customFormat="1" ht="15" x14ac:dyDescent="0.25">
      <c r="B38" s="27"/>
      <c r="C38" s="27"/>
      <c r="D38" s="27"/>
      <c r="E38" s="152"/>
      <c r="F38" s="27"/>
      <c r="G38" s="27"/>
    </row>
  </sheetData>
  <mergeCells count="11">
    <mergeCell ref="C12:D12"/>
    <mergeCell ref="B4:G4"/>
    <mergeCell ref="B6:D6"/>
    <mergeCell ref="B7:D7"/>
    <mergeCell ref="C8:D8"/>
    <mergeCell ref="C10:D10"/>
    <mergeCell ref="C15:D15"/>
    <mergeCell ref="C18:D18"/>
    <mergeCell ref="C23:D23"/>
    <mergeCell ref="C27:D27"/>
    <mergeCell ref="C33:D33"/>
  </mergeCells>
  <pageMargins left="0.63000000000000012" right="0.29000000000000004" top="0.96000000000000019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workbookViewId="0"/>
  </sheetViews>
  <sheetFormatPr defaultRowHeight="14.25" x14ac:dyDescent="0.2"/>
  <cols>
    <col min="1" max="1" width="5.140625" style="1" customWidth="1"/>
    <col min="2" max="2" width="24.140625" style="1" customWidth="1"/>
    <col min="3" max="3" width="13.28515625" style="1" customWidth="1"/>
    <col min="4" max="4" width="12.85546875" style="1" customWidth="1"/>
    <col min="5" max="5" width="12.7109375" style="1" customWidth="1"/>
    <col min="6" max="6" width="12.28515625" style="1" customWidth="1"/>
    <col min="7" max="8" width="12.7109375" style="1" customWidth="1"/>
    <col min="9" max="9" width="11.42578125" style="1" customWidth="1"/>
    <col min="10" max="10" width="9.140625" style="1" customWidth="1"/>
    <col min="11" max="16384" width="9.140625" style="1"/>
  </cols>
  <sheetData>
    <row r="1" spans="2:9" x14ac:dyDescent="0.2">
      <c r="H1" s="27" t="s">
        <v>46</v>
      </c>
    </row>
    <row r="2" spans="2:9" ht="20.25" x14ac:dyDescent="0.3">
      <c r="B2" s="646" t="s">
        <v>47</v>
      </c>
      <c r="C2" s="646"/>
      <c r="D2" s="646"/>
      <c r="E2" s="646"/>
      <c r="F2" s="646"/>
      <c r="G2" s="646"/>
      <c r="H2" s="646"/>
    </row>
    <row r="3" spans="2:9" ht="7.5" customHeight="1" thickBot="1" x14ac:dyDescent="0.25"/>
    <row r="4" spans="2:9" ht="15.75" thickBot="1" x14ac:dyDescent="0.3">
      <c r="B4" s="28" t="s">
        <v>48</v>
      </c>
      <c r="C4" s="29"/>
      <c r="D4" s="29"/>
      <c r="E4" s="30">
        <f>SUM(E5:E13)</f>
        <v>767799.59999999986</v>
      </c>
    </row>
    <row r="5" spans="2:9" ht="15" thickTop="1" x14ac:dyDescent="0.2">
      <c r="B5" s="647" t="s">
        <v>49</v>
      </c>
      <c r="C5" s="647"/>
      <c r="D5" s="647"/>
      <c r="E5" s="31">
        <v>74422.559999999998</v>
      </c>
    </row>
    <row r="6" spans="2:9" ht="16.5" customHeight="1" x14ac:dyDescent="0.2">
      <c r="B6" s="648" t="s">
        <v>50</v>
      </c>
      <c r="C6" s="648"/>
      <c r="D6" s="648"/>
      <c r="E6" s="32">
        <v>46.64</v>
      </c>
    </row>
    <row r="7" spans="2:9" ht="15" customHeight="1" x14ac:dyDescent="0.2">
      <c r="B7" s="648" t="s">
        <v>51</v>
      </c>
      <c r="C7" s="648"/>
      <c r="D7" s="648"/>
      <c r="E7" s="32">
        <v>561186.43999999994</v>
      </c>
    </row>
    <row r="8" spans="2:9" ht="15" customHeight="1" x14ac:dyDescent="0.2">
      <c r="B8" s="648" t="s">
        <v>52</v>
      </c>
      <c r="C8" s="648"/>
      <c r="D8" s="648"/>
      <c r="E8" s="32">
        <v>0</v>
      </c>
    </row>
    <row r="9" spans="2:9" ht="15" customHeight="1" x14ac:dyDescent="0.2">
      <c r="B9" s="648" t="s">
        <v>53</v>
      </c>
      <c r="C9" s="648"/>
      <c r="D9" s="648"/>
      <c r="E9" s="32">
        <v>6998.85</v>
      </c>
    </row>
    <row r="10" spans="2:9" x14ac:dyDescent="0.2">
      <c r="B10" s="645" t="s">
        <v>54</v>
      </c>
      <c r="C10" s="645"/>
      <c r="D10" s="645"/>
      <c r="E10" s="33">
        <v>14940.28</v>
      </c>
    </row>
    <row r="11" spans="2:9" x14ac:dyDescent="0.2">
      <c r="B11" s="34" t="s">
        <v>55</v>
      </c>
      <c r="C11" s="35"/>
      <c r="D11" s="35"/>
      <c r="E11" s="36">
        <v>1304.83</v>
      </c>
    </row>
    <row r="12" spans="2:9" x14ac:dyDescent="0.2">
      <c r="B12" s="34" t="s">
        <v>56</v>
      </c>
      <c r="C12" s="35"/>
      <c r="D12" s="35"/>
      <c r="E12" s="36">
        <v>0</v>
      </c>
    </row>
    <row r="13" spans="2:9" ht="15" thickBot="1" x14ac:dyDescent="0.25">
      <c r="B13" s="37" t="s">
        <v>57</v>
      </c>
      <c r="C13" s="38"/>
      <c r="D13" s="38"/>
      <c r="E13" s="39">
        <v>108900</v>
      </c>
    </row>
    <row r="14" spans="2:9" ht="9.75" customHeight="1" x14ac:dyDescent="0.25">
      <c r="B14" s="40"/>
      <c r="C14" s="40"/>
      <c r="D14" s="40"/>
      <c r="E14" s="41"/>
    </row>
    <row r="15" spans="2:9" ht="13.5" customHeight="1" thickBot="1" x14ac:dyDescent="0.25">
      <c r="B15" s="42"/>
      <c r="C15" s="42"/>
    </row>
    <row r="16" spans="2:9" s="43" customFormat="1" ht="79.5" thickBot="1" x14ac:dyDescent="0.3">
      <c r="B16" s="44" t="s">
        <v>58</v>
      </c>
      <c r="C16" s="45" t="s">
        <v>59</v>
      </c>
      <c r="D16" s="45" t="s">
        <v>60</v>
      </c>
      <c r="E16" s="45" t="s">
        <v>61</v>
      </c>
      <c r="F16" s="45" t="s">
        <v>62</v>
      </c>
      <c r="G16" s="45" t="s">
        <v>63</v>
      </c>
      <c r="H16" s="46" t="s">
        <v>64</v>
      </c>
      <c r="I16" s="47"/>
    </row>
    <row r="17" spans="2:9" ht="15" thickTop="1" x14ac:dyDescent="0.2">
      <c r="B17" s="48" t="s">
        <v>65</v>
      </c>
      <c r="C17" s="49">
        <v>0</v>
      </c>
      <c r="D17" s="49">
        <v>23410.06</v>
      </c>
      <c r="E17" s="49">
        <v>21977.16</v>
      </c>
      <c r="F17" s="49">
        <v>0</v>
      </c>
      <c r="G17" s="49">
        <v>39980.74</v>
      </c>
      <c r="H17" s="50">
        <v>50575.26</v>
      </c>
      <c r="I17" s="51"/>
    </row>
    <row r="18" spans="2:9" x14ac:dyDescent="0.2">
      <c r="B18" s="52" t="s">
        <v>66</v>
      </c>
      <c r="C18" s="53">
        <v>0</v>
      </c>
      <c r="D18" s="53">
        <v>8376.69</v>
      </c>
      <c r="E18" s="53">
        <v>8546.43</v>
      </c>
      <c r="F18" s="53">
        <v>0</v>
      </c>
      <c r="G18" s="53">
        <v>16403.39</v>
      </c>
      <c r="H18" s="54">
        <v>17706.990000000002</v>
      </c>
      <c r="I18" s="51"/>
    </row>
    <row r="19" spans="2:9" x14ac:dyDescent="0.2">
      <c r="B19" s="52" t="s">
        <v>67</v>
      </c>
      <c r="C19" s="53">
        <f>C20+C21+C22+C23+C24+C25</f>
        <v>5740.84</v>
      </c>
      <c r="D19" s="53">
        <f>D20+D21+D22+D23+D24+D25</f>
        <v>11017.73</v>
      </c>
      <c r="E19" s="53">
        <f>E20+E21+E22+E23+E24+E25</f>
        <v>26783.45</v>
      </c>
      <c r="F19" s="53">
        <f>F20+F21+F22+F23+F24+F25</f>
        <v>377.97</v>
      </c>
      <c r="G19" s="53">
        <f>G20+G21+G22+G23+G24+G25</f>
        <v>483664.23999999993</v>
      </c>
      <c r="H19" s="54">
        <f>+H20+H21+H22+H23+H24+H25</f>
        <v>536755.17999999993</v>
      </c>
      <c r="I19" s="51"/>
    </row>
    <row r="20" spans="2:9" x14ac:dyDescent="0.2">
      <c r="B20" s="55" t="s">
        <v>68</v>
      </c>
      <c r="C20" s="56">
        <v>5457.04</v>
      </c>
      <c r="D20" s="56">
        <v>6844</v>
      </c>
      <c r="E20" s="56">
        <v>3930.56</v>
      </c>
      <c r="F20" s="56">
        <v>0</v>
      </c>
      <c r="G20" s="56">
        <v>410392.54</v>
      </c>
      <c r="H20" s="57">
        <v>0</v>
      </c>
      <c r="I20" s="51"/>
    </row>
    <row r="21" spans="2:9" x14ac:dyDescent="0.2">
      <c r="B21" s="55" t="s">
        <v>69</v>
      </c>
      <c r="C21" s="56">
        <v>0</v>
      </c>
      <c r="D21" s="56">
        <v>1486.92</v>
      </c>
      <c r="E21" s="56">
        <v>883.86</v>
      </c>
      <c r="F21" s="56">
        <v>192</v>
      </c>
      <c r="G21" s="56">
        <v>21926.49</v>
      </c>
      <c r="H21" s="57">
        <v>26271.32</v>
      </c>
      <c r="I21" s="51"/>
    </row>
    <row r="22" spans="2:9" x14ac:dyDescent="0.2">
      <c r="B22" s="55" t="s">
        <v>70</v>
      </c>
      <c r="C22" s="56">
        <v>0</v>
      </c>
      <c r="D22" s="56">
        <v>0</v>
      </c>
      <c r="E22" s="56">
        <v>0</v>
      </c>
      <c r="F22" s="56">
        <v>185.97</v>
      </c>
      <c r="G22" s="56">
        <v>4483.7</v>
      </c>
      <c r="H22" s="57">
        <v>9651.83</v>
      </c>
      <c r="I22" s="51"/>
    </row>
    <row r="23" spans="2:9" x14ac:dyDescent="0.2">
      <c r="B23" s="55" t="s">
        <v>71</v>
      </c>
      <c r="C23" s="56">
        <v>283.8</v>
      </c>
      <c r="D23" s="56">
        <v>170</v>
      </c>
      <c r="E23" s="56">
        <v>42</v>
      </c>
      <c r="F23" s="56">
        <v>0</v>
      </c>
      <c r="G23" s="56">
        <v>6663.22</v>
      </c>
      <c r="H23" s="57">
        <v>490769.41</v>
      </c>
      <c r="I23" s="51"/>
    </row>
    <row r="24" spans="2:9" x14ac:dyDescent="0.2">
      <c r="B24" s="55" t="s">
        <v>72</v>
      </c>
      <c r="C24" s="56">
        <v>0</v>
      </c>
      <c r="D24" s="56">
        <v>0</v>
      </c>
      <c r="E24" s="56">
        <v>9900</v>
      </c>
      <c r="F24" s="56">
        <v>0</v>
      </c>
      <c r="G24" s="56">
        <v>0</v>
      </c>
      <c r="H24" s="57">
        <v>0</v>
      </c>
      <c r="I24" s="51"/>
    </row>
    <row r="25" spans="2:9" x14ac:dyDescent="0.2">
      <c r="B25" s="55" t="s">
        <v>73</v>
      </c>
      <c r="C25" s="56">
        <v>0</v>
      </c>
      <c r="D25" s="56">
        <v>2516.81</v>
      </c>
      <c r="E25" s="56">
        <v>12027.03</v>
      </c>
      <c r="F25" s="56">
        <v>0</v>
      </c>
      <c r="G25" s="56">
        <v>40198.29</v>
      </c>
      <c r="H25" s="57">
        <v>10062.620000000001</v>
      </c>
      <c r="I25" s="51"/>
    </row>
    <row r="26" spans="2:9" x14ac:dyDescent="0.2">
      <c r="B26" s="52" t="s">
        <v>74</v>
      </c>
      <c r="C26" s="53">
        <v>0</v>
      </c>
      <c r="D26" s="53">
        <v>870</v>
      </c>
      <c r="E26" s="53">
        <v>0</v>
      </c>
      <c r="F26" s="53">
        <v>0</v>
      </c>
      <c r="G26" s="53">
        <v>165.46</v>
      </c>
      <c r="H26" s="54">
        <v>147.28</v>
      </c>
      <c r="I26" s="51"/>
    </row>
    <row r="27" spans="2:9" s="58" customFormat="1" ht="6.75" customHeight="1" x14ac:dyDescent="0.2">
      <c r="B27" s="59"/>
      <c r="C27" s="60"/>
      <c r="D27" s="60"/>
      <c r="E27" s="60"/>
      <c r="F27" s="60"/>
      <c r="G27" s="60"/>
      <c r="H27" s="61"/>
      <c r="I27" s="62"/>
    </row>
    <row r="28" spans="2:9" ht="20.25" customHeight="1" x14ac:dyDescent="0.25">
      <c r="B28" s="63" t="s">
        <v>75</v>
      </c>
      <c r="C28" s="64">
        <f t="shared" ref="C28:H28" si="0">C17+C18+C19+C26</f>
        <v>5740.84</v>
      </c>
      <c r="D28" s="64">
        <f t="shared" si="0"/>
        <v>43674.479999999996</v>
      </c>
      <c r="E28" s="64">
        <f t="shared" si="0"/>
        <v>57307.040000000001</v>
      </c>
      <c r="F28" s="64">
        <f t="shared" si="0"/>
        <v>377.97</v>
      </c>
      <c r="G28" s="64">
        <f t="shared" si="0"/>
        <v>540213.82999999984</v>
      </c>
      <c r="H28" s="65">
        <f t="shared" si="0"/>
        <v>605184.71</v>
      </c>
      <c r="I28" s="66"/>
    </row>
    <row r="29" spans="2:9" s="67" customFormat="1" ht="30.75" thickBot="1" x14ac:dyDescent="0.3">
      <c r="B29" s="68" t="s">
        <v>76</v>
      </c>
      <c r="C29" s="69">
        <v>0</v>
      </c>
      <c r="D29" s="69">
        <v>0</v>
      </c>
      <c r="E29" s="69">
        <v>0</v>
      </c>
      <c r="F29" s="69">
        <v>0</v>
      </c>
      <c r="G29" s="69">
        <v>7521.6</v>
      </c>
      <c r="H29" s="70">
        <v>0</v>
      </c>
    </row>
    <row r="30" spans="2:9" ht="15" thickBot="1" x14ac:dyDescent="0.25"/>
    <row r="31" spans="2:9" s="43" customFormat="1" ht="90.75" thickBot="1" x14ac:dyDescent="0.3">
      <c r="B31" s="44" t="s">
        <v>58</v>
      </c>
      <c r="C31" s="45" t="s">
        <v>77</v>
      </c>
      <c r="D31" s="45" t="s">
        <v>78</v>
      </c>
      <c r="E31" s="45" t="s">
        <v>79</v>
      </c>
      <c r="F31" s="45" t="s">
        <v>80</v>
      </c>
      <c r="G31" s="45" t="s">
        <v>81</v>
      </c>
      <c r="H31" s="46" t="s">
        <v>82</v>
      </c>
      <c r="I31" s="71"/>
    </row>
    <row r="32" spans="2:9" ht="15" thickTop="1" x14ac:dyDescent="0.2">
      <c r="B32" s="48" t="s">
        <v>65</v>
      </c>
      <c r="C32" s="49">
        <v>99921.919999999998</v>
      </c>
      <c r="D32" s="49">
        <v>135158.5</v>
      </c>
      <c r="E32" s="49">
        <v>0</v>
      </c>
      <c r="F32" s="49">
        <v>24282.62</v>
      </c>
      <c r="G32" s="49">
        <v>6885.75</v>
      </c>
      <c r="H32" s="50">
        <v>0</v>
      </c>
      <c r="I32" s="72"/>
    </row>
    <row r="33" spans="2:10" x14ac:dyDescent="0.2">
      <c r="B33" s="52" t="s">
        <v>66</v>
      </c>
      <c r="C33" s="53">
        <v>36557.49</v>
      </c>
      <c r="D33" s="53">
        <v>47313.21</v>
      </c>
      <c r="E33" s="53">
        <v>10139.780000000001</v>
      </c>
      <c r="F33" s="53">
        <v>8877.91</v>
      </c>
      <c r="G33" s="53">
        <v>2313.92</v>
      </c>
      <c r="H33" s="54">
        <v>0</v>
      </c>
      <c r="I33" s="72"/>
    </row>
    <row r="34" spans="2:10" x14ac:dyDescent="0.2">
      <c r="B34" s="52" t="s">
        <v>67</v>
      </c>
      <c r="C34" s="53">
        <f t="shared" ref="C34:H34" si="1">C35+C36+C37+C38+C39+C40</f>
        <v>249761.22</v>
      </c>
      <c r="D34" s="53">
        <f t="shared" si="1"/>
        <v>193051.88</v>
      </c>
      <c r="E34" s="53">
        <f t="shared" si="1"/>
        <v>151941.1</v>
      </c>
      <c r="F34" s="53">
        <f t="shared" si="1"/>
        <v>23900.47</v>
      </c>
      <c r="G34" s="53">
        <f t="shared" si="1"/>
        <v>26214.920000000006</v>
      </c>
      <c r="H34" s="54">
        <f t="shared" si="1"/>
        <v>13294.81</v>
      </c>
      <c r="I34" s="72"/>
    </row>
    <row r="35" spans="2:10" x14ac:dyDescent="0.2">
      <c r="B35" s="55" t="s">
        <v>68</v>
      </c>
      <c r="C35" s="56">
        <v>170545.59</v>
      </c>
      <c r="D35" s="56">
        <v>140023.31</v>
      </c>
      <c r="E35" s="56">
        <v>72912.929999999993</v>
      </c>
      <c r="F35" s="56">
        <v>37.6</v>
      </c>
      <c r="G35" s="56">
        <v>7737.12</v>
      </c>
      <c r="H35" s="57">
        <v>13294.81</v>
      </c>
      <c r="I35" s="73"/>
    </row>
    <row r="36" spans="2:10" x14ac:dyDescent="0.2">
      <c r="B36" s="55" t="s">
        <v>69</v>
      </c>
      <c r="C36" s="56">
        <v>16224.37</v>
      </c>
      <c r="D36" s="56">
        <v>17539.12</v>
      </c>
      <c r="E36" s="56">
        <v>30338.42</v>
      </c>
      <c r="F36" s="56">
        <v>11678.67</v>
      </c>
      <c r="G36" s="56">
        <v>1842.91</v>
      </c>
      <c r="H36" s="57">
        <v>0</v>
      </c>
      <c r="I36" s="73"/>
    </row>
    <row r="37" spans="2:10" x14ac:dyDescent="0.2">
      <c r="B37" s="55" t="s">
        <v>70</v>
      </c>
      <c r="C37" s="56">
        <v>0</v>
      </c>
      <c r="D37" s="56">
        <v>0</v>
      </c>
      <c r="E37" s="56">
        <v>0</v>
      </c>
      <c r="F37" s="56">
        <v>1074.75</v>
      </c>
      <c r="G37" s="56">
        <v>187.61</v>
      </c>
      <c r="H37" s="57">
        <v>0</v>
      </c>
      <c r="I37" s="73"/>
    </row>
    <row r="38" spans="2:10" x14ac:dyDescent="0.2">
      <c r="B38" s="55" t="s">
        <v>71</v>
      </c>
      <c r="C38" s="56">
        <v>22142.45</v>
      </c>
      <c r="D38" s="56">
        <v>22095.81</v>
      </c>
      <c r="E38" s="56">
        <v>8676.24</v>
      </c>
      <c r="F38" s="56">
        <v>6340.5</v>
      </c>
      <c r="G38" s="56">
        <v>15795.2</v>
      </c>
      <c r="H38" s="57">
        <v>0</v>
      </c>
      <c r="I38" s="73"/>
    </row>
    <row r="39" spans="2:10" x14ac:dyDescent="0.2">
      <c r="B39" s="55" t="s">
        <v>72</v>
      </c>
      <c r="C39" s="56">
        <v>1188</v>
      </c>
      <c r="D39" s="56">
        <v>0</v>
      </c>
      <c r="E39" s="56">
        <v>0</v>
      </c>
      <c r="F39" s="56">
        <v>474.3</v>
      </c>
      <c r="G39" s="56">
        <v>0</v>
      </c>
      <c r="H39" s="57">
        <v>0</v>
      </c>
      <c r="I39" s="73"/>
    </row>
    <row r="40" spans="2:10" x14ac:dyDescent="0.2">
      <c r="B40" s="55" t="s">
        <v>73</v>
      </c>
      <c r="C40" s="56">
        <v>39660.81</v>
      </c>
      <c r="D40" s="56">
        <v>13393.64</v>
      </c>
      <c r="E40" s="56">
        <v>40013.51</v>
      </c>
      <c r="F40" s="56">
        <v>4294.6499999999996</v>
      </c>
      <c r="G40" s="56">
        <v>652.08000000000004</v>
      </c>
      <c r="H40" s="57">
        <v>0</v>
      </c>
      <c r="I40" s="73"/>
    </row>
    <row r="41" spans="2:10" x14ac:dyDescent="0.2">
      <c r="B41" s="52" t="s">
        <v>74</v>
      </c>
      <c r="C41" s="53">
        <v>8132.03</v>
      </c>
      <c r="D41" s="53">
        <v>226.86</v>
      </c>
      <c r="E41" s="53">
        <v>0</v>
      </c>
      <c r="F41" s="53">
        <v>110.35</v>
      </c>
      <c r="G41" s="53">
        <v>0</v>
      </c>
      <c r="H41" s="54">
        <v>0</v>
      </c>
      <c r="I41" s="73"/>
    </row>
    <row r="42" spans="2:10" s="74" customFormat="1" ht="6.75" customHeight="1" x14ac:dyDescent="0.2">
      <c r="B42" s="75"/>
      <c r="C42" s="76"/>
      <c r="D42" s="76"/>
      <c r="E42" s="76"/>
      <c r="F42" s="76"/>
      <c r="G42" s="76"/>
      <c r="H42" s="61"/>
      <c r="I42" s="73"/>
    </row>
    <row r="43" spans="2:10" ht="18.75" customHeight="1" x14ac:dyDescent="0.25">
      <c r="B43" s="63" t="s">
        <v>75</v>
      </c>
      <c r="C43" s="64">
        <f t="shared" ref="C43:H43" si="2">C32+C33+C34+C41</f>
        <v>394372.66000000003</v>
      </c>
      <c r="D43" s="64">
        <f t="shared" si="2"/>
        <v>375750.44999999995</v>
      </c>
      <c r="E43" s="64">
        <f t="shared" si="2"/>
        <v>162080.88</v>
      </c>
      <c r="F43" s="64">
        <f t="shared" si="2"/>
        <v>57171.35</v>
      </c>
      <c r="G43" s="64">
        <f t="shared" si="2"/>
        <v>35414.590000000004</v>
      </c>
      <c r="H43" s="65">
        <f t="shared" si="2"/>
        <v>13294.81</v>
      </c>
      <c r="I43" s="77"/>
    </row>
    <row r="44" spans="2:10" s="67" customFormat="1" ht="34.5" customHeight="1" thickBot="1" x14ac:dyDescent="0.3">
      <c r="B44" s="68" t="s">
        <v>76</v>
      </c>
      <c r="C44" s="69">
        <v>0</v>
      </c>
      <c r="D44" s="69">
        <v>14776</v>
      </c>
      <c r="E44" s="69">
        <v>0</v>
      </c>
      <c r="F44" s="69">
        <v>18440.38</v>
      </c>
      <c r="G44" s="69">
        <v>0</v>
      </c>
      <c r="H44" s="70">
        <v>0</v>
      </c>
      <c r="I44" s="78"/>
    </row>
    <row r="46" spans="2:10" customFormat="1" ht="1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customFormat="1" ht="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customFormat="1" ht="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customFormat="1" ht="1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customFormat="1" ht="15.75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0" s="43" customFormat="1" ht="68.25" thickBot="1" x14ac:dyDescent="0.3">
      <c r="B51" s="44" t="s">
        <v>58</v>
      </c>
      <c r="C51" s="45" t="s">
        <v>83</v>
      </c>
      <c r="D51" s="79" t="s">
        <v>84</v>
      </c>
      <c r="E51" s="45" t="s">
        <v>85</v>
      </c>
      <c r="F51" s="45" t="s">
        <v>86</v>
      </c>
      <c r="G51" s="46" t="s">
        <v>87</v>
      </c>
    </row>
    <row r="52" spans="2:10" customFormat="1" ht="15.75" thickTop="1" x14ac:dyDescent="0.25">
      <c r="B52" s="48" t="s">
        <v>65</v>
      </c>
      <c r="C52" s="49">
        <v>88945.39</v>
      </c>
      <c r="D52" s="80">
        <v>21560.5</v>
      </c>
      <c r="E52" s="49">
        <v>27204.71</v>
      </c>
      <c r="F52" s="49">
        <v>0</v>
      </c>
      <c r="G52" s="50">
        <v>246294.34</v>
      </c>
      <c r="H52" s="1"/>
      <c r="I52" s="1"/>
      <c r="J52" s="51"/>
    </row>
    <row r="53" spans="2:10" customFormat="1" ht="15" x14ac:dyDescent="0.25">
      <c r="B53" s="52" t="s">
        <v>88</v>
      </c>
      <c r="C53" s="53">
        <v>32132.27</v>
      </c>
      <c r="D53" s="81">
        <v>7546.11</v>
      </c>
      <c r="E53" s="53">
        <v>9532.57</v>
      </c>
      <c r="F53" s="53">
        <v>0</v>
      </c>
      <c r="G53" s="54">
        <v>95282.36</v>
      </c>
      <c r="H53" s="1"/>
      <c r="I53" s="1"/>
      <c r="J53" s="1"/>
    </row>
    <row r="54" spans="2:10" customFormat="1" ht="15" x14ac:dyDescent="0.25">
      <c r="B54" s="52" t="s">
        <v>67</v>
      </c>
      <c r="C54" s="53">
        <f>C55+C56+C57+C58+C59+C60+C61</f>
        <v>481026.2</v>
      </c>
      <c r="D54" s="81">
        <f>D56+D57+D58+D59+D60+D61+D55</f>
        <v>17426.810000000001</v>
      </c>
      <c r="E54" s="53">
        <f>E56+E57+E58+E59+E60+E61+E55</f>
        <v>34265.589999999997</v>
      </c>
      <c r="F54" s="53">
        <f>F56+F57+F58+F59+F60+F61+F55</f>
        <v>9810.130000000001</v>
      </c>
      <c r="G54" s="54">
        <f>G56+G57+G58+G59+G60+G61+G55</f>
        <v>84630.55</v>
      </c>
      <c r="H54" s="1"/>
      <c r="I54" s="1"/>
      <c r="J54" s="1"/>
    </row>
    <row r="55" spans="2:10" customFormat="1" ht="15" x14ac:dyDescent="0.25">
      <c r="B55" s="55" t="s">
        <v>89</v>
      </c>
      <c r="C55" s="56">
        <v>0</v>
      </c>
      <c r="D55" s="82">
        <v>0</v>
      </c>
      <c r="E55" s="56">
        <v>39</v>
      </c>
      <c r="F55" s="56">
        <v>0</v>
      </c>
      <c r="G55" s="57">
        <v>39</v>
      </c>
      <c r="H55" s="1"/>
      <c r="I55" s="1"/>
      <c r="J55" s="1"/>
    </row>
    <row r="56" spans="2:10" customFormat="1" ht="15" x14ac:dyDescent="0.25">
      <c r="B56" s="55" t="s">
        <v>68</v>
      </c>
      <c r="C56" s="56">
        <v>0</v>
      </c>
      <c r="D56" s="82">
        <v>1097.6300000000001</v>
      </c>
      <c r="E56" s="56">
        <v>535.55999999999995</v>
      </c>
      <c r="F56" s="56">
        <v>6618.51</v>
      </c>
      <c r="G56" s="57">
        <v>4919.45</v>
      </c>
      <c r="H56" s="1"/>
      <c r="I56" s="1"/>
      <c r="J56" s="1"/>
    </row>
    <row r="57" spans="2:10" customFormat="1" ht="15" x14ac:dyDescent="0.25">
      <c r="B57" s="55" t="s">
        <v>69</v>
      </c>
      <c r="C57" s="56">
        <v>72245.89</v>
      </c>
      <c r="D57" s="82">
        <v>9488.86</v>
      </c>
      <c r="E57" s="56">
        <v>3018.04</v>
      </c>
      <c r="F57" s="56">
        <v>2482.35</v>
      </c>
      <c r="G57" s="57">
        <v>8440.4500000000007</v>
      </c>
      <c r="H57" s="1"/>
      <c r="I57" s="1"/>
      <c r="J57" s="1"/>
    </row>
    <row r="58" spans="2:10" customFormat="1" ht="15" x14ac:dyDescent="0.25">
      <c r="B58" s="55" t="s">
        <v>70</v>
      </c>
      <c r="C58" s="56">
        <v>17025.78</v>
      </c>
      <c r="D58" s="82">
        <v>1402.26</v>
      </c>
      <c r="E58" s="56">
        <v>1878.31</v>
      </c>
      <c r="F58" s="56">
        <v>0</v>
      </c>
      <c r="G58" s="57">
        <v>14142.87</v>
      </c>
      <c r="H58" s="1"/>
      <c r="I58" s="1"/>
      <c r="J58" s="1"/>
    </row>
    <row r="59" spans="2:10" customFormat="1" ht="15" x14ac:dyDescent="0.25">
      <c r="B59" s="55" t="s">
        <v>71</v>
      </c>
      <c r="C59" s="56">
        <v>381872.09</v>
      </c>
      <c r="D59" s="82">
        <v>202.09</v>
      </c>
      <c r="E59" s="56">
        <v>1728.57</v>
      </c>
      <c r="F59" s="56">
        <v>341.24</v>
      </c>
      <c r="G59" s="57">
        <v>4.5</v>
      </c>
      <c r="H59" s="1"/>
      <c r="I59" s="1"/>
      <c r="J59" s="1"/>
    </row>
    <row r="60" spans="2:10" customFormat="1" ht="15" x14ac:dyDescent="0.25">
      <c r="B60" s="55" t="s">
        <v>72</v>
      </c>
      <c r="C60" s="56">
        <v>0</v>
      </c>
      <c r="D60" s="82">
        <v>0</v>
      </c>
      <c r="E60" s="56">
        <v>0</v>
      </c>
      <c r="F60" s="56">
        <v>0</v>
      </c>
      <c r="G60" s="57">
        <v>0</v>
      </c>
      <c r="H60" s="1"/>
      <c r="I60" s="1"/>
      <c r="J60" s="1"/>
    </row>
    <row r="61" spans="2:10" customFormat="1" ht="15" x14ac:dyDescent="0.25">
      <c r="B61" s="55" t="s">
        <v>73</v>
      </c>
      <c r="C61" s="56">
        <v>9882.44</v>
      </c>
      <c r="D61" s="82">
        <v>5235.97</v>
      </c>
      <c r="E61" s="56">
        <v>27066.11</v>
      </c>
      <c r="F61" s="56">
        <v>368.03</v>
      </c>
      <c r="G61" s="57">
        <v>57084.28</v>
      </c>
      <c r="H61" s="1"/>
      <c r="I61" s="1"/>
      <c r="J61" s="1"/>
    </row>
    <row r="62" spans="2:10" customFormat="1" ht="15" x14ac:dyDescent="0.25">
      <c r="B62" s="52" t="s">
        <v>74</v>
      </c>
      <c r="C62" s="53">
        <v>271.94</v>
      </c>
      <c r="D62" s="81">
        <v>0</v>
      </c>
      <c r="E62" s="53">
        <v>158</v>
      </c>
      <c r="F62" s="53">
        <v>0</v>
      </c>
      <c r="G62" s="54">
        <v>1033.74</v>
      </c>
      <c r="H62" s="1"/>
      <c r="I62" s="1"/>
      <c r="J62" s="1"/>
    </row>
    <row r="63" spans="2:10" s="74" customFormat="1" ht="6.75" customHeight="1" x14ac:dyDescent="0.2">
      <c r="B63" s="75"/>
      <c r="C63" s="83"/>
      <c r="D63" s="83"/>
      <c r="E63" s="83"/>
      <c r="F63" s="83"/>
      <c r="G63" s="84"/>
    </row>
    <row r="64" spans="2:10" customFormat="1" ht="15" x14ac:dyDescent="0.25">
      <c r="B64" s="63" t="s">
        <v>75</v>
      </c>
      <c r="C64" s="64">
        <f>C52+C53+C54+C62</f>
        <v>602375.79999999993</v>
      </c>
      <c r="D64" s="64">
        <f>D52+D53+D54+D62</f>
        <v>46533.42</v>
      </c>
      <c r="E64" s="64">
        <f>E52+E53+E54+E62</f>
        <v>71160.87</v>
      </c>
      <c r="F64" s="64">
        <f>F52+F53+F54+F62</f>
        <v>9810.130000000001</v>
      </c>
      <c r="G64" s="65">
        <f>G52+G53+G54+G62</f>
        <v>427240.99</v>
      </c>
      <c r="H64" s="1"/>
      <c r="I64" s="1"/>
      <c r="J64" s="1"/>
    </row>
    <row r="65" spans="2:10" s="67" customFormat="1" ht="30.75" thickBot="1" x14ac:dyDescent="0.3">
      <c r="B65" s="68" t="s">
        <v>76</v>
      </c>
      <c r="C65" s="69">
        <v>30708</v>
      </c>
      <c r="D65" s="69">
        <v>0</v>
      </c>
      <c r="E65" s="69">
        <v>0</v>
      </c>
      <c r="F65" s="69">
        <v>0</v>
      </c>
      <c r="G65" s="70">
        <v>26149.200000000001</v>
      </c>
    </row>
    <row r="66" spans="2:10" customFormat="1" ht="1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customFormat="1" ht="15.75" thickBot="1" x14ac:dyDescent="0.3">
      <c r="B67" s="1"/>
      <c r="C67" s="1"/>
      <c r="D67" s="1"/>
      <c r="E67" s="1"/>
      <c r="F67" s="1"/>
      <c r="G67" s="1"/>
      <c r="H67" s="1"/>
      <c r="I67" s="1"/>
      <c r="J67" s="1"/>
    </row>
    <row r="68" spans="2:10" customFormat="1" ht="90.75" thickBot="1" x14ac:dyDescent="0.3">
      <c r="B68" s="44" t="s">
        <v>58</v>
      </c>
      <c r="C68" s="45" t="s">
        <v>90</v>
      </c>
      <c r="D68" s="45" t="s">
        <v>91</v>
      </c>
      <c r="E68" s="85" t="s">
        <v>92</v>
      </c>
      <c r="F68" s="1"/>
      <c r="G68" s="1"/>
      <c r="H68" s="1"/>
      <c r="I68" s="1"/>
      <c r="J68" s="1"/>
    </row>
    <row r="69" spans="2:10" customFormat="1" ht="15.75" thickTop="1" x14ac:dyDescent="0.25">
      <c r="B69" s="48" t="s">
        <v>65</v>
      </c>
      <c r="C69" s="49">
        <v>0</v>
      </c>
      <c r="D69" s="49">
        <v>0</v>
      </c>
      <c r="E69" s="86">
        <f>D69+G52+F52+E52+D52+C52+H32+G32+F32+E32+D32+H17+G17+F17+E17+D17+C17+C32+C69</f>
        <v>786196.95000000019</v>
      </c>
      <c r="F69" s="1"/>
      <c r="G69" s="1"/>
      <c r="H69" s="1"/>
      <c r="I69" s="1"/>
      <c r="J69" s="1"/>
    </row>
    <row r="70" spans="2:10" customFormat="1" ht="15" x14ac:dyDescent="0.25">
      <c r="B70" s="52" t="s">
        <v>66</v>
      </c>
      <c r="C70" s="53">
        <v>0</v>
      </c>
      <c r="D70" s="53">
        <v>0</v>
      </c>
      <c r="E70" s="65">
        <f>D70+G53+F53+E53+D53+C53+H33+G33+F33+E33+D33+H18+G18+F18+E18+D18+C18+C33+C70</f>
        <v>300729.12</v>
      </c>
      <c r="F70" s="1"/>
      <c r="G70" s="1"/>
      <c r="H70" s="1"/>
      <c r="I70" s="1"/>
      <c r="J70" s="1"/>
    </row>
    <row r="71" spans="2:10" customFormat="1" ht="15" x14ac:dyDescent="0.25">
      <c r="B71" s="52" t="s">
        <v>67</v>
      </c>
      <c r="C71" s="53">
        <f>C73+C74+C75+C76+C77+C78+C72</f>
        <v>9388</v>
      </c>
      <c r="D71" s="53">
        <f>D73+D74+D75+D76+D77+D78+D72</f>
        <v>621.88</v>
      </c>
      <c r="E71" s="65">
        <f>E73+E74+E75+E76+E77+E78+E72</f>
        <v>2359672.9700000002</v>
      </c>
      <c r="F71" s="1"/>
      <c r="G71" s="1"/>
      <c r="H71" s="1"/>
      <c r="I71" s="1"/>
      <c r="J71" s="1"/>
    </row>
    <row r="72" spans="2:10" customFormat="1" ht="15" x14ac:dyDescent="0.25">
      <c r="B72" s="55" t="s">
        <v>89</v>
      </c>
      <c r="C72" s="56">
        <v>0</v>
      </c>
      <c r="D72" s="56">
        <v>0</v>
      </c>
      <c r="E72" s="87">
        <f>D72+G55+F55+E55+D55+C55+C72</f>
        <v>78</v>
      </c>
      <c r="F72" s="1"/>
      <c r="G72" s="1"/>
      <c r="H72" s="1"/>
      <c r="I72" s="1"/>
      <c r="J72" s="1"/>
    </row>
    <row r="73" spans="2:10" customFormat="1" ht="15" x14ac:dyDescent="0.25">
      <c r="B73" s="55" t="s">
        <v>68</v>
      </c>
      <c r="C73" s="56">
        <v>0</v>
      </c>
      <c r="D73" s="56">
        <v>621.88</v>
      </c>
      <c r="E73" s="87">
        <f t="shared" ref="E73:E78" si="3">D73+G56+F56+E56+D56+C56+H35+G35+F35+E35+D35+C35+H20+G20+F20+E20+D20+C20+C73</f>
        <v>844968.53</v>
      </c>
      <c r="F73" s="1"/>
      <c r="G73" s="1"/>
      <c r="H73" s="1"/>
      <c r="I73" s="1"/>
      <c r="J73" s="1"/>
    </row>
    <row r="74" spans="2:10" customFormat="1" ht="15" x14ac:dyDescent="0.25">
      <c r="B74" s="55" t="s">
        <v>69</v>
      </c>
      <c r="C74" s="56">
        <v>0</v>
      </c>
      <c r="D74" s="56">
        <v>0</v>
      </c>
      <c r="E74" s="87">
        <f t="shared" si="3"/>
        <v>224059.66999999998</v>
      </c>
      <c r="F74" s="1"/>
      <c r="G74" s="1"/>
      <c r="H74" s="1"/>
      <c r="I74" s="1"/>
      <c r="J74" s="1"/>
    </row>
    <row r="75" spans="2:10" customFormat="1" ht="15" x14ac:dyDescent="0.25">
      <c r="B75" s="55" t="s">
        <v>70</v>
      </c>
      <c r="C75" s="56">
        <v>0</v>
      </c>
      <c r="D75" s="56">
        <v>0</v>
      </c>
      <c r="E75" s="87">
        <f t="shared" si="3"/>
        <v>50033.08</v>
      </c>
      <c r="F75" s="1"/>
      <c r="G75" s="1"/>
      <c r="H75" s="1"/>
      <c r="I75" s="1"/>
      <c r="J75" s="1"/>
    </row>
    <row r="76" spans="2:10" customFormat="1" ht="15" x14ac:dyDescent="0.25">
      <c r="B76" s="55" t="s">
        <v>71</v>
      </c>
      <c r="C76" s="56">
        <v>9388</v>
      </c>
      <c r="D76" s="56">
        <v>0</v>
      </c>
      <c r="E76" s="87">
        <f t="shared" si="3"/>
        <v>966515.12000000011</v>
      </c>
      <c r="F76" s="1"/>
      <c r="G76" s="1"/>
      <c r="H76" s="1"/>
      <c r="I76" s="1"/>
      <c r="J76" s="1"/>
    </row>
    <row r="77" spans="2:10" customFormat="1" ht="15" x14ac:dyDescent="0.25">
      <c r="B77" s="55" t="s">
        <v>72</v>
      </c>
      <c r="C77" s="56">
        <v>0</v>
      </c>
      <c r="D77" s="56">
        <v>0</v>
      </c>
      <c r="E77" s="87">
        <f t="shared" si="3"/>
        <v>11562.3</v>
      </c>
      <c r="F77" s="1"/>
      <c r="G77" s="1"/>
      <c r="H77" s="1"/>
      <c r="I77" s="1"/>
      <c r="J77" s="1"/>
    </row>
    <row r="78" spans="2:10" customFormat="1" ht="15" x14ac:dyDescent="0.25">
      <c r="B78" s="55" t="s">
        <v>73</v>
      </c>
      <c r="C78" s="56">
        <v>0</v>
      </c>
      <c r="D78" s="56">
        <v>0</v>
      </c>
      <c r="E78" s="87">
        <f t="shared" si="3"/>
        <v>262456.27</v>
      </c>
      <c r="F78" s="1"/>
      <c r="G78" s="1"/>
      <c r="H78" s="1"/>
      <c r="I78" s="1"/>
      <c r="J78" s="1"/>
    </row>
    <row r="79" spans="2:10" customFormat="1" ht="15" x14ac:dyDescent="0.25">
      <c r="B79" s="52" t="s">
        <v>74</v>
      </c>
      <c r="C79" s="53">
        <v>0</v>
      </c>
      <c r="D79" s="53">
        <v>0</v>
      </c>
      <c r="E79" s="65">
        <f>D79+G62+F62+E62+D62+C62+H41+G41+F41+E41+D41+C41+H26+G26+F26+E26+D26+C26</f>
        <v>11115.66</v>
      </c>
      <c r="F79" s="1"/>
      <c r="G79" s="1"/>
      <c r="H79" s="1"/>
      <c r="I79" s="1"/>
      <c r="J79" s="1"/>
    </row>
    <row r="80" spans="2:10" customFormat="1" ht="6.75" customHeight="1" x14ac:dyDescent="0.25">
      <c r="B80" s="75"/>
      <c r="C80" s="83"/>
      <c r="D80" s="83"/>
      <c r="E80" s="88"/>
      <c r="F80" s="1"/>
      <c r="G80" s="1"/>
      <c r="H80" s="1"/>
      <c r="I80" s="1"/>
      <c r="J80" s="1"/>
    </row>
    <row r="81" spans="2:10" customFormat="1" ht="15.75" thickBot="1" x14ac:dyDescent="0.3">
      <c r="B81" s="63" t="s">
        <v>75</v>
      </c>
      <c r="C81" s="64">
        <f>C69+C70+C71+C79</f>
        <v>9388</v>
      </c>
      <c r="D81" s="64">
        <f>D69+D70+D71+D79</f>
        <v>621.88</v>
      </c>
      <c r="E81" s="70">
        <f>D81+G64+F64+E64+D64+C64+H43+G43+F43+E43+D43+C43+H28+G28+F28+E28+D28+C28+C81</f>
        <v>3457714.7</v>
      </c>
      <c r="F81" s="1"/>
      <c r="G81" s="1"/>
      <c r="H81" s="1"/>
      <c r="I81" s="1"/>
      <c r="J81" s="1"/>
    </row>
    <row r="82" spans="2:10" s="67" customFormat="1" ht="30.75" thickBot="1" x14ac:dyDescent="0.3">
      <c r="B82" s="68" t="s">
        <v>76</v>
      </c>
      <c r="C82" s="69">
        <v>0</v>
      </c>
      <c r="D82" s="69">
        <v>0</v>
      </c>
      <c r="E82" s="70">
        <f>D82+G65+F65+E65+D65+C65+H44+G44+F44+E44+D44+C44+H29+G29+F29+E29+D29+C29+C82</f>
        <v>97595.180000000008</v>
      </c>
    </row>
    <row r="83" spans="2:10" s="89" customFormat="1" ht="25.5" thickTop="1" thickBot="1" x14ac:dyDescent="0.3">
      <c r="B83" s="90" t="s">
        <v>93</v>
      </c>
      <c r="C83" s="91"/>
      <c r="D83" s="91"/>
      <c r="E83" s="92">
        <v>100600</v>
      </c>
      <c r="F83" s="67"/>
      <c r="G83" s="67"/>
      <c r="H83" s="67"/>
      <c r="I83" s="67"/>
      <c r="J83" s="67"/>
    </row>
    <row r="84" spans="2:10" customFormat="1" ht="15" x14ac:dyDescent="0.25">
      <c r="B84" s="1"/>
      <c r="C84" s="1"/>
      <c r="D84" s="1"/>
      <c r="E84" s="51"/>
      <c r="F84" s="1"/>
      <c r="G84" s="1"/>
      <c r="H84" s="1"/>
      <c r="I84" s="1"/>
      <c r="J84" s="1"/>
    </row>
    <row r="86" spans="2:10" customFormat="1" ht="15" x14ac:dyDescent="0.25">
      <c r="B86" s="1"/>
      <c r="C86" s="1"/>
      <c r="D86" s="1"/>
      <c r="E86" s="51"/>
      <c r="F86" s="1"/>
      <c r="G86" s="1"/>
      <c r="H86" s="1"/>
      <c r="I86" s="1"/>
      <c r="J86" s="1"/>
    </row>
  </sheetData>
  <mergeCells count="7">
    <mergeCell ref="B10:D10"/>
    <mergeCell ref="B2:H2"/>
    <mergeCell ref="B5:D5"/>
    <mergeCell ref="B6:D6"/>
    <mergeCell ref="B7:D7"/>
    <mergeCell ref="B8:D8"/>
    <mergeCell ref="B9:D9"/>
  </mergeCells>
  <pageMargins left="0.65000000000000013" right="0.18000000000000002" top="0.55118110236220452" bottom="0.31496062992125951" header="0.511811023622047" footer="0.27559055118110198"/>
  <pageSetup paperSize="9" scale="90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/>
  </sheetViews>
  <sheetFormatPr defaultRowHeight="12.75" x14ac:dyDescent="0.2"/>
  <cols>
    <col min="1" max="1" width="4" style="27" customWidth="1"/>
    <col min="2" max="2" width="6.42578125" style="27" customWidth="1"/>
    <col min="3" max="3" width="33.7109375" style="27" customWidth="1"/>
    <col min="4" max="4" width="16.140625" style="27" customWidth="1"/>
    <col min="5" max="5" width="14.140625" style="27" customWidth="1"/>
    <col min="6" max="6" width="13.5703125" style="27" customWidth="1"/>
    <col min="7" max="7" width="9.140625" style="27" customWidth="1"/>
    <col min="8" max="16384" width="9.140625" style="27"/>
  </cols>
  <sheetData>
    <row r="2" spans="2:8" x14ac:dyDescent="0.2">
      <c r="D2" s="152"/>
      <c r="E2" s="152"/>
      <c r="F2" s="152"/>
    </row>
    <row r="3" spans="2:8" x14ac:dyDescent="0.2">
      <c r="F3" s="121" t="s">
        <v>849</v>
      </c>
    </row>
    <row r="4" spans="2:8" ht="42" customHeight="1" x14ac:dyDescent="0.2">
      <c r="B4" s="730" t="s">
        <v>850</v>
      </c>
      <c r="C4" s="730"/>
      <c r="D4" s="730"/>
      <c r="E4" s="730"/>
      <c r="F4" s="730"/>
      <c r="G4" s="93"/>
      <c r="H4" s="93"/>
    </row>
    <row r="5" spans="2:8" customFormat="1" ht="15.75" thickBot="1" x14ac:dyDescent="0.3">
      <c r="B5" s="27"/>
      <c r="C5" s="27"/>
      <c r="D5" s="27"/>
      <c r="E5" s="27"/>
      <c r="F5" s="27"/>
      <c r="G5" s="27"/>
    </row>
    <row r="6" spans="2:8" customFormat="1" ht="30" customHeight="1" x14ac:dyDescent="0.25">
      <c r="B6" s="731"/>
      <c r="C6" s="731"/>
      <c r="D6" s="4" t="s">
        <v>745</v>
      </c>
      <c r="E6" s="4" t="s">
        <v>746</v>
      </c>
      <c r="F6" s="543" t="s">
        <v>747</v>
      </c>
      <c r="G6" s="27"/>
    </row>
    <row r="7" spans="2:8" s="131" customFormat="1" ht="20.25" customHeight="1" thickBot="1" x14ac:dyDescent="0.3">
      <c r="B7" s="544"/>
      <c r="C7" s="545" t="s">
        <v>748</v>
      </c>
      <c r="D7" s="546">
        <f>D8+D9+D10+D18+D19</f>
        <v>40098389</v>
      </c>
      <c r="E7" s="546">
        <f>E8+E9+E10+E18+E19</f>
        <v>40704974</v>
      </c>
      <c r="F7" s="547">
        <f>F8+F9+F10+F18+F19</f>
        <v>38899319.139999993</v>
      </c>
    </row>
    <row r="8" spans="2:8" customFormat="1" ht="26.25" thickTop="1" x14ac:dyDescent="0.25">
      <c r="B8" s="548">
        <v>610</v>
      </c>
      <c r="C8" s="549" t="s">
        <v>851</v>
      </c>
      <c r="D8" s="507">
        <v>14981806</v>
      </c>
      <c r="E8" s="507">
        <v>15125187.390000001</v>
      </c>
      <c r="F8" s="508">
        <v>14936349.76</v>
      </c>
      <c r="G8" s="27"/>
    </row>
    <row r="9" spans="2:8" customFormat="1" ht="15" x14ac:dyDescent="0.25">
      <c r="B9" s="260">
        <v>620</v>
      </c>
      <c r="C9" s="531" t="s">
        <v>852</v>
      </c>
      <c r="D9" s="241">
        <v>5526850</v>
      </c>
      <c r="E9" s="241">
        <v>5638131.2400000002</v>
      </c>
      <c r="F9" s="261">
        <v>5508146.4299999997</v>
      </c>
      <c r="G9" s="27"/>
    </row>
    <row r="10" spans="2:8" customFormat="1" ht="15" x14ac:dyDescent="0.25">
      <c r="B10" s="260">
        <v>630</v>
      </c>
      <c r="C10" s="531" t="s">
        <v>853</v>
      </c>
      <c r="D10" s="550">
        <f>D11+D12+D13+D14+D15+D16+D17</f>
        <v>17031068</v>
      </c>
      <c r="E10" s="550">
        <f>E11+E12+E13+E14+E15+E16+E17</f>
        <v>17263028</v>
      </c>
      <c r="F10" s="550">
        <f>F11+F12+F13+F14+F15+F16+F17</f>
        <v>15801966.379999999</v>
      </c>
      <c r="G10" s="27"/>
    </row>
    <row r="11" spans="2:8" customFormat="1" ht="15" x14ac:dyDescent="0.25">
      <c r="B11" s="276">
        <v>631</v>
      </c>
      <c r="C11" s="535" t="s">
        <v>854</v>
      </c>
      <c r="D11" s="515">
        <v>20853</v>
      </c>
      <c r="E11" s="515">
        <v>19831</v>
      </c>
      <c r="F11" s="126">
        <v>14822.09</v>
      </c>
      <c r="G11" s="27"/>
    </row>
    <row r="12" spans="2:8" customFormat="1" ht="15" x14ac:dyDescent="0.25">
      <c r="B12" s="276">
        <v>632</v>
      </c>
      <c r="C12" s="535" t="s">
        <v>855</v>
      </c>
      <c r="D12" s="515">
        <v>2835292</v>
      </c>
      <c r="E12" s="515">
        <v>2798796</v>
      </c>
      <c r="F12" s="126">
        <v>2532915.54</v>
      </c>
      <c r="G12" s="27"/>
    </row>
    <row r="13" spans="2:8" customFormat="1" ht="15" x14ac:dyDescent="0.25">
      <c r="B13" s="276">
        <v>633</v>
      </c>
      <c r="C13" s="535" t="s">
        <v>856</v>
      </c>
      <c r="D13" s="515">
        <v>1921531</v>
      </c>
      <c r="E13" s="515">
        <v>2123267</v>
      </c>
      <c r="F13" s="126">
        <v>2097259.7599999998</v>
      </c>
      <c r="G13" s="27"/>
    </row>
    <row r="14" spans="2:8" customFormat="1" ht="15" x14ac:dyDescent="0.25">
      <c r="B14" s="276">
        <v>634</v>
      </c>
      <c r="C14" s="535" t="s">
        <v>857</v>
      </c>
      <c r="D14" s="515">
        <v>160753</v>
      </c>
      <c r="E14" s="515">
        <v>170318</v>
      </c>
      <c r="F14" s="126">
        <v>144415.24</v>
      </c>
      <c r="G14" s="27"/>
    </row>
    <row r="15" spans="2:8" customFormat="1" ht="15" x14ac:dyDescent="0.25">
      <c r="B15" s="276">
        <v>635</v>
      </c>
      <c r="C15" s="535" t="s">
        <v>858</v>
      </c>
      <c r="D15" s="515">
        <v>3831825</v>
      </c>
      <c r="E15" s="515">
        <v>3812078</v>
      </c>
      <c r="F15" s="126">
        <v>3294989.83</v>
      </c>
      <c r="G15" s="27"/>
    </row>
    <row r="16" spans="2:8" customFormat="1" ht="15" x14ac:dyDescent="0.25">
      <c r="B16" s="276">
        <v>636</v>
      </c>
      <c r="C16" s="535" t="s">
        <v>859</v>
      </c>
      <c r="D16" s="515">
        <v>595190</v>
      </c>
      <c r="E16" s="515">
        <v>615859</v>
      </c>
      <c r="F16" s="126">
        <v>569944.72</v>
      </c>
      <c r="G16" s="27"/>
    </row>
    <row r="17" spans="2:7" customFormat="1" ht="15" x14ac:dyDescent="0.25">
      <c r="B17" s="276">
        <v>637</v>
      </c>
      <c r="C17" s="535" t="s">
        <v>860</v>
      </c>
      <c r="D17" s="515">
        <v>7665624</v>
      </c>
      <c r="E17" s="515">
        <v>7722879</v>
      </c>
      <c r="F17" s="126">
        <v>7147619.2000000002</v>
      </c>
      <c r="G17" s="27"/>
    </row>
    <row r="18" spans="2:7" customFormat="1" ht="15" x14ac:dyDescent="0.25">
      <c r="B18" s="260">
        <v>640</v>
      </c>
      <c r="C18" s="531" t="s">
        <v>861</v>
      </c>
      <c r="D18" s="550">
        <v>2328665</v>
      </c>
      <c r="E18" s="550">
        <v>2544277.37</v>
      </c>
      <c r="F18" s="551">
        <v>2531063.04</v>
      </c>
      <c r="G18" s="27"/>
    </row>
    <row r="19" spans="2:7" customFormat="1" ht="15" x14ac:dyDescent="0.25">
      <c r="B19" s="260">
        <v>650</v>
      </c>
      <c r="C19" s="531" t="s">
        <v>862</v>
      </c>
      <c r="D19" s="550">
        <v>230000</v>
      </c>
      <c r="E19" s="550">
        <v>134350</v>
      </c>
      <c r="F19" s="551">
        <v>121793.53</v>
      </c>
      <c r="G19" s="27"/>
    </row>
    <row r="20" spans="2:7" customFormat="1" ht="9" customHeight="1" x14ac:dyDescent="0.25">
      <c r="B20" s="276"/>
      <c r="C20" s="535"/>
      <c r="D20" s="515"/>
      <c r="E20" s="515"/>
      <c r="F20" s="126"/>
      <c r="G20" s="27"/>
    </row>
    <row r="21" spans="2:7" s="131" customFormat="1" ht="24.75" customHeight="1" x14ac:dyDescent="0.25">
      <c r="B21" s="552"/>
      <c r="C21" s="553" t="s">
        <v>840</v>
      </c>
      <c r="D21" s="554">
        <f>D22+D29</f>
        <v>14161554</v>
      </c>
      <c r="E21" s="554">
        <f>E22+E29</f>
        <v>20114349</v>
      </c>
      <c r="F21" s="554">
        <f>F22+F29</f>
        <v>13573458.899999999</v>
      </c>
    </row>
    <row r="22" spans="2:7" customFormat="1" ht="25.5" customHeight="1" x14ac:dyDescent="0.25">
      <c r="B22" s="260">
        <v>710</v>
      </c>
      <c r="C22" s="513" t="s">
        <v>863</v>
      </c>
      <c r="D22" s="550">
        <f>D23+D24+D25+D26+D27+D28</f>
        <v>14161554</v>
      </c>
      <c r="E22" s="550">
        <f>E23+E24+E25+E26+E27+E28</f>
        <v>20074199</v>
      </c>
      <c r="F22" s="550">
        <f>F23+F24+F25+F26+F27+F28</f>
        <v>13533308.899999999</v>
      </c>
      <c r="G22" s="27"/>
    </row>
    <row r="23" spans="2:7" customFormat="1" ht="15" x14ac:dyDescent="0.25">
      <c r="B23" s="555">
        <v>711</v>
      </c>
      <c r="C23" s="556" t="s">
        <v>864</v>
      </c>
      <c r="D23" s="557">
        <v>400002</v>
      </c>
      <c r="E23" s="557">
        <v>1100306</v>
      </c>
      <c r="F23" s="558">
        <v>279836.21999999997</v>
      </c>
      <c r="G23" s="27"/>
    </row>
    <row r="24" spans="2:7" customFormat="1" ht="15" x14ac:dyDescent="0.25">
      <c r="B24" s="555">
        <v>712</v>
      </c>
      <c r="C24" s="556" t="s">
        <v>865</v>
      </c>
      <c r="D24" s="557">
        <v>2353715</v>
      </c>
      <c r="E24" s="557">
        <v>3766575</v>
      </c>
      <c r="F24" s="558">
        <v>3351516.55</v>
      </c>
      <c r="G24" s="27"/>
    </row>
    <row r="25" spans="2:7" customFormat="1" ht="25.5" x14ac:dyDescent="0.25">
      <c r="B25" s="555">
        <v>713</v>
      </c>
      <c r="C25" s="556" t="s">
        <v>866</v>
      </c>
      <c r="D25" s="557">
        <v>166050</v>
      </c>
      <c r="E25" s="557">
        <v>248426</v>
      </c>
      <c r="F25" s="558">
        <v>131142.69</v>
      </c>
      <c r="G25" s="27"/>
    </row>
    <row r="26" spans="2:7" customFormat="1" ht="15" x14ac:dyDescent="0.25">
      <c r="B26" s="555">
        <v>714</v>
      </c>
      <c r="C26" s="556" t="s">
        <v>867</v>
      </c>
      <c r="D26" s="557">
        <v>93000</v>
      </c>
      <c r="E26" s="557">
        <v>149120</v>
      </c>
      <c r="F26" s="558">
        <v>76636</v>
      </c>
      <c r="G26" s="27"/>
    </row>
    <row r="27" spans="2:7" customFormat="1" ht="15" x14ac:dyDescent="0.25">
      <c r="B27" s="555">
        <v>716</v>
      </c>
      <c r="C27" s="556" t="s">
        <v>868</v>
      </c>
      <c r="D27" s="557">
        <v>456226</v>
      </c>
      <c r="E27" s="557">
        <v>579884</v>
      </c>
      <c r="F27" s="558">
        <v>300666.94</v>
      </c>
      <c r="G27" s="27"/>
    </row>
    <row r="28" spans="2:7" customFormat="1" ht="25.5" x14ac:dyDescent="0.25">
      <c r="B28" s="555">
        <v>717</v>
      </c>
      <c r="C28" s="556" t="s">
        <v>869</v>
      </c>
      <c r="D28" s="557">
        <v>10692561</v>
      </c>
      <c r="E28" s="557">
        <v>14229888</v>
      </c>
      <c r="F28" s="558">
        <v>9393510.5</v>
      </c>
      <c r="G28" s="27"/>
    </row>
    <row r="29" spans="2:7" customFormat="1" ht="15.75" thickBot="1" x14ac:dyDescent="0.3">
      <c r="B29" s="559">
        <v>720</v>
      </c>
      <c r="C29" s="560" t="s">
        <v>870</v>
      </c>
      <c r="D29" s="561">
        <v>0</v>
      </c>
      <c r="E29" s="561">
        <v>40150</v>
      </c>
      <c r="F29" s="562">
        <v>40150</v>
      </c>
    </row>
    <row r="30" spans="2:7" customFormat="1" ht="15" x14ac:dyDescent="0.25">
      <c r="B30" s="27"/>
      <c r="C30" s="27"/>
      <c r="D30" s="27"/>
      <c r="E30" s="27"/>
      <c r="F30" s="152"/>
    </row>
    <row r="31" spans="2:7" customFormat="1" ht="15" x14ac:dyDescent="0.25">
      <c r="B31" s="27"/>
      <c r="C31" s="27"/>
      <c r="D31" s="27"/>
      <c r="E31" s="27"/>
      <c r="F31" s="563"/>
    </row>
    <row r="32" spans="2:7" customFormat="1" ht="15" x14ac:dyDescent="0.25">
      <c r="B32" s="27"/>
      <c r="C32" s="27"/>
      <c r="D32" s="27"/>
      <c r="E32" s="27"/>
      <c r="F32" s="563"/>
    </row>
    <row r="33" spans="2:6" customFormat="1" ht="15" x14ac:dyDescent="0.25">
      <c r="B33" s="27"/>
      <c r="C33" s="27"/>
      <c r="D33" s="27"/>
      <c r="E33" s="27"/>
      <c r="F33" s="494"/>
    </row>
    <row r="34" spans="2:6" customFormat="1" ht="15" x14ac:dyDescent="0.25">
      <c r="B34" s="27"/>
      <c r="C34" s="27"/>
      <c r="D34" s="27"/>
      <c r="E34" s="27"/>
      <c r="F34" s="494"/>
    </row>
    <row r="35" spans="2:6" customFormat="1" ht="15" x14ac:dyDescent="0.25">
      <c r="B35" s="27"/>
      <c r="C35" s="27"/>
      <c r="D35" s="27"/>
      <c r="E35" s="27"/>
      <c r="F35" s="494"/>
    </row>
    <row r="36" spans="2:6" customFormat="1" ht="15" x14ac:dyDescent="0.25">
      <c r="B36" s="27"/>
      <c r="C36" s="27"/>
      <c r="D36" s="27"/>
      <c r="E36" s="27"/>
      <c r="F36" s="494"/>
    </row>
    <row r="37" spans="2:6" customFormat="1" ht="15" x14ac:dyDescent="0.25">
      <c r="B37" s="27"/>
      <c r="C37" s="27"/>
      <c r="D37" s="27"/>
      <c r="E37" s="27"/>
      <c r="F37" s="494"/>
    </row>
    <row r="38" spans="2:6" customFormat="1" ht="15" x14ac:dyDescent="0.25">
      <c r="B38" s="27"/>
      <c r="C38" s="27"/>
      <c r="D38" s="27"/>
      <c r="E38" s="27"/>
      <c r="F38" s="66"/>
    </row>
    <row r="48" spans="2:6" customFormat="1" ht="15" x14ac:dyDescent="0.25">
      <c r="B48" s="27"/>
      <c r="C48" s="27"/>
      <c r="D48" s="27"/>
      <c r="E48" s="27"/>
      <c r="F48" s="40"/>
    </row>
  </sheetData>
  <mergeCells count="2">
    <mergeCell ref="B4:F4"/>
    <mergeCell ref="B6:C6"/>
  </mergeCells>
  <pageMargins left="0.70000000000000007" right="0.30000000000000004" top="0.75" bottom="0.75" header="0.30000000000000004" footer="0.30000000000000004"/>
  <pageSetup paperSize="9" fitToWidth="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workbookViewId="0"/>
  </sheetViews>
  <sheetFormatPr defaultRowHeight="12.75" x14ac:dyDescent="0.2"/>
  <cols>
    <col min="1" max="1" width="9.140625" style="27" customWidth="1"/>
    <col min="2" max="2" width="9.85546875" style="27" customWidth="1"/>
    <col min="3" max="3" width="41.7109375" style="27" customWidth="1"/>
    <col min="4" max="4" width="13.5703125" style="27" customWidth="1"/>
    <col min="5" max="5" width="12.7109375" style="27" customWidth="1"/>
    <col min="6" max="6" width="12.28515625" style="27" customWidth="1"/>
    <col min="7" max="7" width="9.140625" style="27" customWidth="1"/>
    <col min="8" max="16384" width="9.140625" style="27"/>
  </cols>
  <sheetData>
    <row r="2" spans="2:11" x14ac:dyDescent="0.2">
      <c r="F2" s="121" t="s">
        <v>871</v>
      </c>
    </row>
    <row r="4" spans="2:11" ht="42.75" customHeight="1" x14ac:dyDescent="0.2">
      <c r="B4" s="730" t="s">
        <v>872</v>
      </c>
      <c r="C4" s="730"/>
      <c r="D4" s="730"/>
      <c r="E4" s="730"/>
      <c r="F4" s="730"/>
      <c r="G4" s="564"/>
      <c r="H4" s="564"/>
    </row>
    <row r="5" spans="2:11" ht="13.5" thickBot="1" x14ac:dyDescent="0.25"/>
    <row r="6" spans="2:11" ht="36" customHeight="1" x14ac:dyDescent="0.2">
      <c r="B6" s="725" t="s">
        <v>1</v>
      </c>
      <c r="C6" s="725"/>
      <c r="D6" s="501" t="s">
        <v>745</v>
      </c>
      <c r="E6" s="501" t="s">
        <v>746</v>
      </c>
      <c r="F6" s="502" t="s">
        <v>747</v>
      </c>
    </row>
    <row r="7" spans="2:11" ht="18" customHeight="1" x14ac:dyDescent="0.2">
      <c r="B7" s="552"/>
      <c r="C7" s="565" t="s">
        <v>873</v>
      </c>
      <c r="D7" s="554">
        <f>SUM(D8:D13)</f>
        <v>12289008</v>
      </c>
      <c r="E7" s="554">
        <f>SUM(E8:E13)</f>
        <v>13703320</v>
      </c>
      <c r="F7" s="554">
        <f>SUM(F8:F13)</f>
        <v>13798014.449999999</v>
      </c>
      <c r="J7" s="152"/>
    </row>
    <row r="8" spans="2:11" x14ac:dyDescent="0.2">
      <c r="B8" s="566">
        <v>455</v>
      </c>
      <c r="C8" s="511" t="s">
        <v>874</v>
      </c>
      <c r="D8" s="515">
        <v>0</v>
      </c>
      <c r="E8" s="515">
        <v>406451</v>
      </c>
      <c r="F8" s="126">
        <v>406726.15</v>
      </c>
    </row>
    <row r="9" spans="2:11" s="131" customFormat="1" ht="25.5" x14ac:dyDescent="0.25">
      <c r="B9" s="276">
        <v>453</v>
      </c>
      <c r="C9" s="352" t="s">
        <v>875</v>
      </c>
      <c r="D9" s="515">
        <v>5608913</v>
      </c>
      <c r="E9" s="515">
        <v>6826528</v>
      </c>
      <c r="F9" s="126">
        <v>6993139.3300000001</v>
      </c>
    </row>
    <row r="10" spans="2:11" s="131" customFormat="1" x14ac:dyDescent="0.25">
      <c r="B10" s="566">
        <v>454001</v>
      </c>
      <c r="C10" s="352" t="s">
        <v>876</v>
      </c>
      <c r="D10" s="515">
        <v>540255</v>
      </c>
      <c r="E10" s="515">
        <v>560291</v>
      </c>
      <c r="F10" s="126">
        <v>560291</v>
      </c>
    </row>
    <row r="11" spans="2:11" s="131" customFormat="1" x14ac:dyDescent="0.25">
      <c r="B11" s="566">
        <v>456</v>
      </c>
      <c r="C11" s="352"/>
      <c r="D11" s="515">
        <v>400000</v>
      </c>
      <c r="E11" s="515">
        <v>400000</v>
      </c>
      <c r="F11" s="126">
        <v>327807.96999999997</v>
      </c>
    </row>
    <row r="12" spans="2:11" customFormat="1" ht="15" x14ac:dyDescent="0.25">
      <c r="B12" s="566">
        <v>513002</v>
      </c>
      <c r="C12" s="352" t="s">
        <v>877</v>
      </c>
      <c r="D12" s="515">
        <v>4210000</v>
      </c>
      <c r="E12" s="515">
        <v>3210000</v>
      </c>
      <c r="F12" s="126">
        <v>3210000</v>
      </c>
      <c r="G12" s="27"/>
      <c r="H12" s="27"/>
      <c r="I12" s="27"/>
      <c r="J12" s="27"/>
      <c r="K12" s="27"/>
    </row>
    <row r="13" spans="2:11" customFormat="1" ht="15" x14ac:dyDescent="0.25">
      <c r="B13" s="566">
        <v>514</v>
      </c>
      <c r="C13" s="352" t="s">
        <v>878</v>
      </c>
      <c r="D13" s="515">
        <v>1529840</v>
      </c>
      <c r="E13" s="515">
        <v>2300050</v>
      </c>
      <c r="F13" s="126">
        <v>2300050</v>
      </c>
      <c r="G13" s="27"/>
      <c r="H13" s="27"/>
      <c r="I13" s="27"/>
      <c r="J13" s="27"/>
      <c r="K13" s="27"/>
    </row>
    <row r="14" spans="2:11" customFormat="1" ht="18" customHeight="1" x14ac:dyDescent="0.25">
      <c r="B14" s="552"/>
      <c r="C14" s="565" t="s">
        <v>879</v>
      </c>
      <c r="D14" s="554">
        <f>SUM(D15:D17)</f>
        <v>3477700</v>
      </c>
      <c r="E14" s="554">
        <f>SUM(E15:E17)</f>
        <v>3490540</v>
      </c>
      <c r="F14" s="554">
        <f>SUM(F15:F17)</f>
        <v>3275755.29</v>
      </c>
      <c r="G14" s="27"/>
      <c r="H14" s="27"/>
      <c r="I14" s="27"/>
      <c r="J14" s="27"/>
      <c r="K14" s="27"/>
    </row>
    <row r="15" spans="2:11" customFormat="1" ht="18" customHeight="1" x14ac:dyDescent="0.25">
      <c r="B15" s="566">
        <v>819</v>
      </c>
      <c r="C15" s="215"/>
      <c r="D15" s="557">
        <v>400000</v>
      </c>
      <c r="E15" s="557">
        <v>400000</v>
      </c>
      <c r="F15" s="558">
        <v>229900.12</v>
      </c>
      <c r="G15" s="27"/>
      <c r="H15" s="27"/>
      <c r="I15" s="27"/>
      <c r="J15" s="27"/>
      <c r="K15" s="27"/>
    </row>
    <row r="16" spans="2:11" customFormat="1" ht="25.5" x14ac:dyDescent="0.25">
      <c r="B16" s="566">
        <v>821005</v>
      </c>
      <c r="C16" s="215" t="s">
        <v>880</v>
      </c>
      <c r="D16" s="557">
        <v>2992700</v>
      </c>
      <c r="E16" s="557">
        <v>2992700</v>
      </c>
      <c r="F16" s="558">
        <v>2991516.35</v>
      </c>
      <c r="G16" s="27"/>
      <c r="H16" s="27"/>
      <c r="I16" s="27"/>
      <c r="J16" s="27"/>
      <c r="K16" s="27"/>
    </row>
    <row r="17" spans="2:11" customFormat="1" ht="25.5" customHeight="1" thickBot="1" x14ac:dyDescent="0.3">
      <c r="B17" s="567">
        <v>821007</v>
      </c>
      <c r="C17" s="518" t="s">
        <v>881</v>
      </c>
      <c r="D17" s="561">
        <v>85000</v>
      </c>
      <c r="E17" s="561">
        <v>97840</v>
      </c>
      <c r="F17" s="562">
        <v>54338.82</v>
      </c>
      <c r="G17" s="27"/>
      <c r="H17" s="27"/>
      <c r="I17" s="27"/>
      <c r="J17" s="27"/>
      <c r="K17" s="27"/>
    </row>
    <row r="26" spans="2:11" customFormat="1" ht="15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40"/>
    </row>
  </sheetData>
  <mergeCells count="2">
    <mergeCell ref="B4:F4"/>
    <mergeCell ref="B6:C6"/>
  </mergeCells>
  <pageMargins left="0.46" right="0.25" top="0.75" bottom="0.75" header="0.30000000000000004" footer="0.30000000000000004"/>
  <pageSetup paperSize="9" fitToWidth="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/>
  </sheetViews>
  <sheetFormatPr defaultRowHeight="14.25" x14ac:dyDescent="0.2"/>
  <cols>
    <col min="1" max="1" width="4" style="1" customWidth="1"/>
    <col min="2" max="2" width="21.140625" style="1" customWidth="1"/>
    <col min="3" max="3" width="12.85546875" style="1" customWidth="1"/>
    <col min="4" max="4" width="12.140625" style="1" customWidth="1"/>
    <col min="5" max="5" width="10.42578125" style="1" customWidth="1"/>
    <col min="6" max="6" width="13.7109375" style="1" customWidth="1"/>
    <col min="7" max="7" width="13.42578125" style="1" customWidth="1"/>
    <col min="8" max="8" width="13.5703125" style="1" customWidth="1"/>
    <col min="9" max="9" width="14.5703125" style="1" customWidth="1"/>
    <col min="10" max="10" width="6.85546875" style="1" customWidth="1"/>
    <col min="11" max="11" width="4.7109375" style="1" customWidth="1"/>
    <col min="12" max="12" width="9.140625" style="1" customWidth="1"/>
    <col min="13" max="16384" width="9.140625" style="1"/>
  </cols>
  <sheetData>
    <row r="1" spans="2:9" customFormat="1" ht="15" x14ac:dyDescent="0.25">
      <c r="B1" s="1"/>
      <c r="C1" s="1"/>
      <c r="D1" s="1"/>
      <c r="E1" s="1"/>
      <c r="F1" s="1"/>
      <c r="G1" s="1"/>
      <c r="H1" s="1"/>
      <c r="I1" s="1"/>
    </row>
    <row r="2" spans="2:9" customFormat="1" ht="15" x14ac:dyDescent="0.25">
      <c r="B2" s="1"/>
      <c r="C2" s="1"/>
      <c r="D2" s="1"/>
      <c r="E2" s="1"/>
      <c r="F2" s="1"/>
      <c r="G2" s="1"/>
      <c r="H2" s="1"/>
      <c r="I2" s="1" t="s">
        <v>882</v>
      </c>
    </row>
    <row r="3" spans="2:9" customFormat="1" ht="23.25" customHeight="1" x14ac:dyDescent="0.25">
      <c r="B3" s="660" t="s">
        <v>883</v>
      </c>
      <c r="C3" s="660"/>
      <c r="D3" s="660"/>
      <c r="E3" s="660"/>
      <c r="F3" s="660"/>
      <c r="G3" s="660"/>
      <c r="H3" s="660"/>
      <c r="I3" s="660"/>
    </row>
    <row r="4" spans="2:9" customFormat="1" ht="15" x14ac:dyDescent="0.25">
      <c r="B4" s="1"/>
      <c r="C4" s="1"/>
      <c r="D4" s="1"/>
      <c r="E4" s="1"/>
      <c r="F4" s="1"/>
      <c r="G4" s="1"/>
      <c r="H4" s="1"/>
      <c r="I4" s="1"/>
    </row>
    <row r="5" spans="2:9" customFormat="1" ht="15.75" thickBot="1" x14ac:dyDescent="0.3">
      <c r="B5" s="1"/>
      <c r="C5" s="1"/>
      <c r="D5" s="1"/>
      <c r="E5" s="1"/>
      <c r="F5" s="1"/>
      <c r="G5" s="1"/>
      <c r="H5" s="1"/>
      <c r="I5" s="1"/>
    </row>
    <row r="6" spans="2:9" customFormat="1" ht="39" customHeight="1" thickBot="1" x14ac:dyDescent="0.3">
      <c r="B6" s="732"/>
      <c r="C6" s="733" t="s">
        <v>884</v>
      </c>
      <c r="D6" s="733" t="s">
        <v>885</v>
      </c>
      <c r="E6" s="733" t="s">
        <v>886</v>
      </c>
      <c r="F6" s="733" t="s">
        <v>887</v>
      </c>
      <c r="G6" s="733" t="s">
        <v>888</v>
      </c>
      <c r="H6" s="733" t="s">
        <v>889</v>
      </c>
      <c r="I6" s="734" t="s">
        <v>890</v>
      </c>
    </row>
    <row r="7" spans="2:9" customFormat="1" ht="3.75" customHeight="1" thickTop="1" thickBot="1" x14ac:dyDescent="0.3">
      <c r="B7" s="732"/>
      <c r="C7" s="733"/>
      <c r="D7" s="733"/>
      <c r="E7" s="733"/>
      <c r="F7" s="733"/>
      <c r="G7" s="733"/>
      <c r="H7" s="733"/>
      <c r="I7" s="734"/>
    </row>
    <row r="8" spans="2:9" customFormat="1" ht="16.5" thickTop="1" thickBot="1" x14ac:dyDescent="0.3">
      <c r="B8" s="732"/>
      <c r="C8" s="733"/>
      <c r="D8" s="733"/>
      <c r="E8" s="733"/>
      <c r="F8" s="733"/>
      <c r="G8" s="733"/>
      <c r="H8" s="733"/>
      <c r="I8" s="734"/>
    </row>
    <row r="9" spans="2:9" customFormat="1" ht="15.75" thickTop="1" x14ac:dyDescent="0.25">
      <c r="B9" s="568" t="s">
        <v>891</v>
      </c>
      <c r="C9" s="569">
        <v>28.74</v>
      </c>
      <c r="D9" s="569">
        <v>1.6</v>
      </c>
      <c r="E9" s="569">
        <v>2</v>
      </c>
      <c r="F9" s="570">
        <v>5.8</v>
      </c>
      <c r="G9" s="571">
        <v>6</v>
      </c>
      <c r="H9" s="571">
        <v>6.5</v>
      </c>
      <c r="I9" s="572">
        <f t="shared" ref="I9:I19" si="0">SUM(C9:H9)</f>
        <v>50.64</v>
      </c>
    </row>
    <row r="10" spans="2:9" customFormat="1" ht="15" x14ac:dyDescent="0.25">
      <c r="B10" s="163" t="s">
        <v>892</v>
      </c>
      <c r="C10" s="573">
        <v>38.869999999999997</v>
      </c>
      <c r="D10" s="573">
        <v>1.6</v>
      </c>
      <c r="E10" s="573">
        <v>0.5</v>
      </c>
      <c r="F10" s="574">
        <v>7.49</v>
      </c>
      <c r="G10" s="575">
        <v>6.8</v>
      </c>
      <c r="H10" s="575">
        <v>8.5399999999999991</v>
      </c>
      <c r="I10" s="576">
        <f t="shared" si="0"/>
        <v>63.8</v>
      </c>
    </row>
    <row r="11" spans="2:9" customFormat="1" ht="15" x14ac:dyDescent="0.25">
      <c r="B11" s="163" t="s">
        <v>893</v>
      </c>
      <c r="C11" s="573">
        <v>59</v>
      </c>
      <c r="D11" s="573">
        <v>2</v>
      </c>
      <c r="E11" s="573">
        <v>0.5</v>
      </c>
      <c r="F11" s="574">
        <v>12.38</v>
      </c>
      <c r="G11" s="575">
        <v>11.55</v>
      </c>
      <c r="H11" s="575">
        <v>0</v>
      </c>
      <c r="I11" s="576">
        <f t="shared" si="0"/>
        <v>85.429999999999993</v>
      </c>
    </row>
    <row r="12" spans="2:9" customFormat="1" ht="15" x14ac:dyDescent="0.25">
      <c r="B12" s="163" t="s">
        <v>894</v>
      </c>
      <c r="C12" s="573">
        <v>29.64</v>
      </c>
      <c r="D12" s="573">
        <v>2.7</v>
      </c>
      <c r="E12" s="573">
        <v>1</v>
      </c>
      <c r="F12" s="574">
        <v>4.5</v>
      </c>
      <c r="G12" s="575">
        <v>6</v>
      </c>
      <c r="H12" s="575">
        <v>5</v>
      </c>
      <c r="I12" s="576">
        <f t="shared" si="0"/>
        <v>48.84</v>
      </c>
    </row>
    <row r="13" spans="2:9" customFormat="1" ht="15" x14ac:dyDescent="0.25">
      <c r="B13" s="163" t="s">
        <v>895</v>
      </c>
      <c r="C13" s="573">
        <v>21.22</v>
      </c>
      <c r="D13" s="577">
        <v>2.5</v>
      </c>
      <c r="E13" s="577">
        <v>3</v>
      </c>
      <c r="F13" s="574">
        <v>5</v>
      </c>
      <c r="G13" s="575">
        <v>6</v>
      </c>
      <c r="H13" s="575">
        <v>7</v>
      </c>
      <c r="I13" s="576">
        <f t="shared" si="0"/>
        <v>44.72</v>
      </c>
    </row>
    <row r="14" spans="2:9" customFormat="1" ht="15" x14ac:dyDescent="0.25">
      <c r="B14" s="163" t="s">
        <v>896</v>
      </c>
      <c r="C14" s="578">
        <v>46</v>
      </c>
      <c r="D14" s="579">
        <v>2</v>
      </c>
      <c r="E14" s="579">
        <v>1</v>
      </c>
      <c r="F14" s="574">
        <v>8</v>
      </c>
      <c r="G14" s="575">
        <v>11</v>
      </c>
      <c r="H14" s="575">
        <v>10</v>
      </c>
      <c r="I14" s="576">
        <f t="shared" si="0"/>
        <v>78</v>
      </c>
    </row>
    <row r="15" spans="2:9" customFormat="1" ht="15" x14ac:dyDescent="0.25">
      <c r="B15" s="163" t="s">
        <v>897</v>
      </c>
      <c r="C15" s="580">
        <v>19.37</v>
      </c>
      <c r="D15" s="579">
        <v>0.43</v>
      </c>
      <c r="E15" s="579">
        <v>1</v>
      </c>
      <c r="F15" s="574">
        <v>2.6</v>
      </c>
      <c r="G15" s="575">
        <v>6</v>
      </c>
      <c r="H15" s="575">
        <v>6</v>
      </c>
      <c r="I15" s="576">
        <f t="shared" si="0"/>
        <v>35.400000000000006</v>
      </c>
    </row>
    <row r="16" spans="2:9" customFormat="1" ht="15" x14ac:dyDescent="0.25">
      <c r="B16" s="163" t="s">
        <v>898</v>
      </c>
      <c r="C16" s="581">
        <v>42.08</v>
      </c>
      <c r="D16" s="579">
        <v>1.3</v>
      </c>
      <c r="E16" s="579">
        <v>2.5</v>
      </c>
      <c r="F16" s="574">
        <v>7.8</v>
      </c>
      <c r="G16" s="575">
        <v>10.6</v>
      </c>
      <c r="H16" s="575">
        <v>9.5</v>
      </c>
      <c r="I16" s="576">
        <f t="shared" si="0"/>
        <v>73.779999999999987</v>
      </c>
    </row>
    <row r="17" spans="2:12" customFormat="1" ht="15" x14ac:dyDescent="0.25">
      <c r="B17" s="163" t="s">
        <v>899</v>
      </c>
      <c r="C17" s="573">
        <v>4.9000000000000004</v>
      </c>
      <c r="D17" s="569">
        <v>0</v>
      </c>
      <c r="E17" s="569">
        <v>0</v>
      </c>
      <c r="F17" s="574">
        <v>1</v>
      </c>
      <c r="G17" s="575">
        <v>1</v>
      </c>
      <c r="H17" s="575">
        <v>0</v>
      </c>
      <c r="I17" s="576">
        <f t="shared" si="0"/>
        <v>6.9</v>
      </c>
      <c r="J17" s="1"/>
      <c r="K17" s="1"/>
      <c r="L17" s="1"/>
    </row>
    <row r="18" spans="2:12" customFormat="1" ht="16.5" customHeight="1" x14ac:dyDescent="0.25">
      <c r="B18" s="163" t="s">
        <v>900</v>
      </c>
      <c r="C18" s="573">
        <v>46.9</v>
      </c>
      <c r="D18" s="573">
        <v>0</v>
      </c>
      <c r="E18" s="573">
        <v>0</v>
      </c>
      <c r="F18" s="574">
        <v>0</v>
      </c>
      <c r="G18" s="575">
        <v>8.3000000000000007</v>
      </c>
      <c r="H18" s="575">
        <v>0</v>
      </c>
      <c r="I18" s="576">
        <f t="shared" si="0"/>
        <v>55.2</v>
      </c>
      <c r="J18" s="1"/>
      <c r="K18" s="1"/>
      <c r="L18" s="1"/>
    </row>
    <row r="19" spans="2:12" customFormat="1" ht="15" x14ac:dyDescent="0.25">
      <c r="B19" s="170" t="s">
        <v>901</v>
      </c>
      <c r="C19" s="577">
        <v>7</v>
      </c>
      <c r="D19" s="577">
        <v>0</v>
      </c>
      <c r="E19" s="577">
        <v>0</v>
      </c>
      <c r="F19" s="582">
        <v>0</v>
      </c>
      <c r="G19" s="583">
        <v>3</v>
      </c>
      <c r="H19" s="583">
        <v>0</v>
      </c>
      <c r="I19" s="584">
        <f t="shared" si="0"/>
        <v>10</v>
      </c>
      <c r="J19" s="585"/>
      <c r="K19" s="1"/>
      <c r="L19" s="1"/>
    </row>
    <row r="20" spans="2:12" customFormat="1" ht="15.75" thickBot="1" x14ac:dyDescent="0.3">
      <c r="B20" s="586" t="s">
        <v>178</v>
      </c>
      <c r="C20" s="587">
        <f t="shared" ref="C20:I20" si="1">SUM(C9:C19)</f>
        <v>343.71999999999997</v>
      </c>
      <c r="D20" s="587">
        <f t="shared" si="1"/>
        <v>14.13</v>
      </c>
      <c r="E20" s="587">
        <f t="shared" si="1"/>
        <v>11.5</v>
      </c>
      <c r="F20" s="587">
        <f t="shared" si="1"/>
        <v>54.57</v>
      </c>
      <c r="G20" s="587">
        <f t="shared" si="1"/>
        <v>76.25</v>
      </c>
      <c r="H20" s="587">
        <f t="shared" si="1"/>
        <v>52.54</v>
      </c>
      <c r="I20" s="588">
        <f t="shared" si="1"/>
        <v>552.71</v>
      </c>
      <c r="J20" s="1"/>
      <c r="K20" s="1"/>
      <c r="L20" s="1"/>
    </row>
    <row r="21" spans="2:12" customFormat="1" ht="15" x14ac:dyDescent="0.25">
      <c r="B21" s="1"/>
      <c r="C21" s="1"/>
      <c r="D21" s="1"/>
      <c r="E21" s="1"/>
      <c r="F21" s="1"/>
      <c r="G21" s="1"/>
      <c r="H21" s="1"/>
      <c r="I21" s="287"/>
      <c r="J21" s="1"/>
      <c r="K21" s="1"/>
      <c r="L21" s="1"/>
    </row>
    <row r="28" spans="2:12" customFormat="1" ht="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684"/>
    </row>
    <row r="29" spans="2:12" customFormat="1" ht="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684"/>
    </row>
    <row r="30" spans="2:12" customFormat="1" ht="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684"/>
    </row>
    <row r="31" spans="2:12" customFormat="1" ht="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684"/>
    </row>
    <row r="32" spans="2:12" customFormat="1" ht="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684"/>
    </row>
  </sheetData>
  <mergeCells count="10">
    <mergeCell ref="L28:L32"/>
    <mergeCell ref="B3:I3"/>
    <mergeCell ref="B6:B8"/>
    <mergeCell ref="C6:C8"/>
    <mergeCell ref="D6:D8"/>
    <mergeCell ref="E6:E8"/>
    <mergeCell ref="F6:F8"/>
    <mergeCell ref="G6:G8"/>
    <mergeCell ref="H6:H8"/>
    <mergeCell ref="I6:I8"/>
  </mergeCells>
  <pageMargins left="0.11811023622047202" right="0.11811023622047202" top="0.74803149606299213" bottom="0.74803149606299213" header="0.31496062992126012" footer="0.31496062992126012"/>
  <pageSetup paperSize="9" scale="90" fitToWidth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/>
  </sheetViews>
  <sheetFormatPr defaultRowHeight="14.25" x14ac:dyDescent="0.2"/>
  <cols>
    <col min="1" max="1" width="18.42578125" style="1" customWidth="1"/>
    <col min="2" max="2" width="5.85546875" style="1" customWidth="1"/>
    <col min="3" max="3" width="5.5703125" style="1" customWidth="1"/>
    <col min="4" max="4" width="5.7109375" style="1" customWidth="1"/>
    <col min="5" max="5" width="5.42578125" style="1" customWidth="1"/>
    <col min="6" max="6" width="8" style="1" customWidth="1"/>
    <col min="7" max="7" width="6" style="1" customWidth="1"/>
    <col min="8" max="9" width="5.5703125" style="1" customWidth="1"/>
    <col min="10" max="10" width="5" style="1" customWidth="1"/>
    <col min="11" max="11" width="5.7109375" style="1" customWidth="1"/>
    <col min="12" max="12" width="8.28515625" style="1" customWidth="1"/>
    <col min="13" max="13" width="8" style="1" customWidth="1"/>
    <col min="14" max="14" width="11.140625" style="1" customWidth="1"/>
    <col min="15" max="15" width="8.42578125" style="1" customWidth="1"/>
    <col min="16" max="16" width="6.42578125" style="1" customWidth="1"/>
    <col min="17" max="18" width="8.42578125" style="1" customWidth="1"/>
    <col min="19" max="19" width="9.140625" style="1" customWidth="1"/>
    <col min="20" max="16384" width="9.140625" style="1"/>
  </cols>
  <sheetData>
    <row r="1" spans="1:22" customFormat="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89" t="s">
        <v>902</v>
      </c>
      <c r="S2" s="1"/>
      <c r="T2" s="1"/>
      <c r="U2" s="1"/>
      <c r="V2" s="1"/>
    </row>
    <row r="3" spans="1:22" customFormat="1" ht="15" x14ac:dyDescent="0.25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1"/>
      <c r="T3" s="1"/>
      <c r="U3" s="1"/>
      <c r="V3" s="1"/>
    </row>
    <row r="4" spans="1:22" customFormat="1" ht="17.100000000000001" customHeight="1" thickBot="1" x14ac:dyDescent="0.3">
      <c r="A4" s="735"/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1"/>
      <c r="S4" s="1"/>
      <c r="T4" s="1"/>
      <c r="U4" s="1"/>
      <c r="V4" s="1"/>
    </row>
    <row r="5" spans="1:22" customFormat="1" ht="21.95" customHeight="1" x14ac:dyDescent="0.25">
      <c r="A5" s="736" t="s">
        <v>903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1"/>
      <c r="T5" s="1"/>
      <c r="U5" s="1"/>
      <c r="V5" s="1"/>
    </row>
    <row r="6" spans="1:22" customFormat="1" ht="8.25" customHeight="1" x14ac:dyDescent="0.25">
      <c r="A6" s="737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1"/>
      <c r="T6" s="1"/>
      <c r="U6" s="1"/>
      <c r="V6" s="1"/>
    </row>
    <row r="7" spans="1:22" s="67" customFormat="1" ht="42" customHeight="1" x14ac:dyDescent="0.25">
      <c r="A7" s="589" t="s">
        <v>904</v>
      </c>
      <c r="B7" s="590" t="s">
        <v>11</v>
      </c>
      <c r="C7" s="590" t="s">
        <v>13</v>
      </c>
      <c r="D7" s="590" t="s">
        <v>15</v>
      </c>
      <c r="E7" s="590" t="s">
        <v>17</v>
      </c>
      <c r="F7" s="590" t="s">
        <v>905</v>
      </c>
      <c r="G7" s="590" t="s">
        <v>19</v>
      </c>
      <c r="H7" s="590" t="s">
        <v>21</v>
      </c>
      <c r="I7" s="590" t="s">
        <v>23</v>
      </c>
      <c r="J7" s="590" t="s">
        <v>25</v>
      </c>
      <c r="K7" s="590" t="s">
        <v>28</v>
      </c>
      <c r="L7" s="590" t="s">
        <v>906</v>
      </c>
      <c r="M7" s="591" t="s">
        <v>907</v>
      </c>
      <c r="N7" s="591" t="s">
        <v>908</v>
      </c>
      <c r="O7" s="591" t="s">
        <v>909</v>
      </c>
      <c r="P7" s="591" t="s">
        <v>910</v>
      </c>
      <c r="Q7" s="591" t="s">
        <v>911</v>
      </c>
      <c r="R7" s="592" t="s">
        <v>912</v>
      </c>
    </row>
    <row r="8" spans="1:22" customFormat="1" ht="15" x14ac:dyDescent="0.25">
      <c r="A8" s="589" t="s">
        <v>913</v>
      </c>
      <c r="B8" s="593">
        <v>66</v>
      </c>
      <c r="C8" s="593">
        <v>43</v>
      </c>
      <c r="D8" s="593">
        <v>60</v>
      </c>
      <c r="E8" s="593">
        <v>62</v>
      </c>
      <c r="F8" s="594">
        <v>231</v>
      </c>
      <c r="G8" s="593">
        <v>59</v>
      </c>
      <c r="H8" s="593">
        <v>40</v>
      </c>
      <c r="I8" s="593">
        <v>54</v>
      </c>
      <c r="J8" s="593">
        <v>48</v>
      </c>
      <c r="K8" s="593">
        <v>38</v>
      </c>
      <c r="L8" s="594">
        <v>239</v>
      </c>
      <c r="M8" s="594">
        <v>470</v>
      </c>
      <c r="N8" s="595">
        <v>-9</v>
      </c>
      <c r="O8" s="593">
        <v>21</v>
      </c>
      <c r="P8" s="593">
        <v>221</v>
      </c>
      <c r="Q8" s="593">
        <v>10</v>
      </c>
      <c r="R8" s="596">
        <v>1</v>
      </c>
      <c r="S8" s="1"/>
      <c r="T8" s="1"/>
      <c r="U8" s="1"/>
      <c r="V8" s="1"/>
    </row>
    <row r="9" spans="1:22" customFormat="1" ht="15" x14ac:dyDescent="0.25">
      <c r="A9" s="589" t="s">
        <v>914</v>
      </c>
      <c r="B9" s="593">
        <v>72</v>
      </c>
      <c r="C9" s="593">
        <v>72</v>
      </c>
      <c r="D9" s="593">
        <v>74</v>
      </c>
      <c r="E9" s="593">
        <v>72</v>
      </c>
      <c r="F9" s="594">
        <v>290</v>
      </c>
      <c r="G9" s="593">
        <v>72</v>
      </c>
      <c r="H9" s="593">
        <v>70</v>
      </c>
      <c r="I9" s="593">
        <v>69</v>
      </c>
      <c r="J9" s="593">
        <v>64</v>
      </c>
      <c r="K9" s="593">
        <v>66</v>
      </c>
      <c r="L9" s="594">
        <v>341</v>
      </c>
      <c r="M9" s="594">
        <v>631</v>
      </c>
      <c r="N9" s="595">
        <v>1</v>
      </c>
      <c r="O9" s="593">
        <v>28</v>
      </c>
      <c r="P9" s="593">
        <v>267</v>
      </c>
      <c r="Q9" s="593">
        <v>10</v>
      </c>
      <c r="R9" s="596">
        <v>0</v>
      </c>
      <c r="S9" s="1"/>
      <c r="T9" s="1"/>
      <c r="U9" s="1"/>
      <c r="V9" s="1"/>
    </row>
    <row r="10" spans="1:22" customFormat="1" ht="15" x14ac:dyDescent="0.25">
      <c r="A10" s="589" t="s">
        <v>915</v>
      </c>
      <c r="B10" s="593">
        <v>82</v>
      </c>
      <c r="C10" s="593">
        <v>102</v>
      </c>
      <c r="D10" s="593">
        <v>91</v>
      </c>
      <c r="E10" s="593">
        <v>104</v>
      </c>
      <c r="F10" s="594">
        <v>379</v>
      </c>
      <c r="G10" s="593">
        <v>104</v>
      </c>
      <c r="H10" s="593">
        <v>86</v>
      </c>
      <c r="I10" s="593">
        <v>111</v>
      </c>
      <c r="J10" s="593">
        <v>106</v>
      </c>
      <c r="K10" s="593">
        <v>80</v>
      </c>
      <c r="L10" s="594">
        <v>487</v>
      </c>
      <c r="M10" s="594">
        <v>866</v>
      </c>
      <c r="N10" s="595">
        <v>-19</v>
      </c>
      <c r="O10" s="593">
        <v>40</v>
      </c>
      <c r="P10" s="593">
        <v>340</v>
      </c>
      <c r="Q10" s="593">
        <v>19</v>
      </c>
      <c r="R10" s="596">
        <v>3</v>
      </c>
      <c r="S10" s="1"/>
      <c r="T10" s="1"/>
      <c r="U10" s="1"/>
      <c r="V10" s="1"/>
    </row>
    <row r="11" spans="1:22" customFormat="1" ht="15" x14ac:dyDescent="0.25">
      <c r="A11" s="589" t="s">
        <v>916</v>
      </c>
      <c r="B11" s="593">
        <v>59</v>
      </c>
      <c r="C11" s="593">
        <v>43</v>
      </c>
      <c r="D11" s="593">
        <v>47</v>
      </c>
      <c r="E11" s="593">
        <v>47</v>
      </c>
      <c r="F11" s="594">
        <v>196</v>
      </c>
      <c r="G11" s="593">
        <v>51</v>
      </c>
      <c r="H11" s="593">
        <v>43</v>
      </c>
      <c r="I11" s="593">
        <v>33</v>
      </c>
      <c r="J11" s="593">
        <v>40</v>
      </c>
      <c r="K11" s="593">
        <v>35</v>
      </c>
      <c r="L11" s="594">
        <v>202</v>
      </c>
      <c r="M11" s="594">
        <v>398</v>
      </c>
      <c r="N11" s="595">
        <v>48</v>
      </c>
      <c r="O11" s="593">
        <v>23</v>
      </c>
      <c r="P11" s="593">
        <v>155</v>
      </c>
      <c r="Q11" s="593">
        <v>17</v>
      </c>
      <c r="R11" s="596">
        <v>4</v>
      </c>
      <c r="S11" s="1"/>
      <c r="T11" s="1"/>
      <c r="U11" s="1"/>
      <c r="V11" s="1"/>
    </row>
    <row r="12" spans="1:22" customFormat="1" ht="15" x14ac:dyDescent="0.25">
      <c r="A12" s="589" t="s">
        <v>917</v>
      </c>
      <c r="B12" s="597">
        <v>40</v>
      </c>
      <c r="C12" s="597">
        <v>41</v>
      </c>
      <c r="D12" s="597">
        <v>25</v>
      </c>
      <c r="E12" s="597">
        <v>38</v>
      </c>
      <c r="F12" s="594">
        <v>144</v>
      </c>
      <c r="G12" s="593">
        <v>31</v>
      </c>
      <c r="H12" s="593">
        <v>25</v>
      </c>
      <c r="I12" s="593">
        <v>15</v>
      </c>
      <c r="J12" s="593">
        <v>21</v>
      </c>
      <c r="K12" s="593">
        <v>17</v>
      </c>
      <c r="L12" s="594">
        <v>109</v>
      </c>
      <c r="M12" s="594">
        <v>253</v>
      </c>
      <c r="N12" s="595">
        <v>9</v>
      </c>
      <c r="O12" s="593">
        <v>13</v>
      </c>
      <c r="P12" s="593">
        <v>119</v>
      </c>
      <c r="Q12" s="593">
        <v>21</v>
      </c>
      <c r="R12" s="596">
        <v>1</v>
      </c>
      <c r="S12" s="1"/>
      <c r="T12" s="1"/>
      <c r="U12" s="1"/>
      <c r="V12" s="1"/>
    </row>
    <row r="13" spans="1:22" customFormat="1" ht="15" x14ac:dyDescent="0.25">
      <c r="A13" s="589" t="s">
        <v>918</v>
      </c>
      <c r="B13" s="593">
        <v>91</v>
      </c>
      <c r="C13" s="593">
        <v>92</v>
      </c>
      <c r="D13" s="593">
        <v>80</v>
      </c>
      <c r="E13" s="593">
        <v>95</v>
      </c>
      <c r="F13" s="594">
        <v>358</v>
      </c>
      <c r="G13" s="593">
        <v>77</v>
      </c>
      <c r="H13" s="593">
        <v>77</v>
      </c>
      <c r="I13" s="593">
        <v>75</v>
      </c>
      <c r="J13" s="593">
        <v>74</v>
      </c>
      <c r="K13" s="593">
        <v>90</v>
      </c>
      <c r="L13" s="594">
        <v>393</v>
      </c>
      <c r="M13" s="594">
        <v>751</v>
      </c>
      <c r="N13" s="595">
        <v>21</v>
      </c>
      <c r="O13" s="593">
        <v>33</v>
      </c>
      <c r="P13" s="593">
        <v>266</v>
      </c>
      <c r="Q13" s="593">
        <v>17</v>
      </c>
      <c r="R13" s="596">
        <v>1</v>
      </c>
      <c r="S13" s="1"/>
      <c r="T13" s="1"/>
      <c r="U13" s="1"/>
      <c r="V13" s="1"/>
    </row>
    <row r="14" spans="1:22" customFormat="1" ht="15" x14ac:dyDescent="0.25">
      <c r="A14" s="589" t="s">
        <v>919</v>
      </c>
      <c r="B14" s="593">
        <v>10</v>
      </c>
      <c r="C14" s="593">
        <v>15</v>
      </c>
      <c r="D14" s="593">
        <v>9</v>
      </c>
      <c r="E14" s="593">
        <v>15</v>
      </c>
      <c r="F14" s="594">
        <v>49</v>
      </c>
      <c r="G14" s="593"/>
      <c r="H14" s="593"/>
      <c r="I14" s="593"/>
      <c r="J14" s="593"/>
      <c r="K14" s="593"/>
      <c r="L14" s="594"/>
      <c r="M14" s="594">
        <v>49</v>
      </c>
      <c r="N14" s="595">
        <v>-10</v>
      </c>
      <c r="O14" s="593">
        <v>4</v>
      </c>
      <c r="P14" s="593">
        <v>28</v>
      </c>
      <c r="Q14" s="593">
        <v>2</v>
      </c>
      <c r="R14" s="596">
        <v>0</v>
      </c>
      <c r="S14" s="1"/>
      <c r="T14" s="1"/>
      <c r="U14" s="1"/>
      <c r="V14" s="1"/>
    </row>
    <row r="15" spans="1:22" customFormat="1" ht="15" x14ac:dyDescent="0.25">
      <c r="A15" s="589" t="s">
        <v>920</v>
      </c>
      <c r="B15" s="593">
        <v>80</v>
      </c>
      <c r="C15" s="593">
        <v>92</v>
      </c>
      <c r="D15" s="593">
        <v>86</v>
      </c>
      <c r="E15" s="593">
        <v>65</v>
      </c>
      <c r="F15" s="594">
        <v>323</v>
      </c>
      <c r="G15" s="593">
        <v>78</v>
      </c>
      <c r="H15" s="593">
        <v>71</v>
      </c>
      <c r="I15" s="593">
        <v>65</v>
      </c>
      <c r="J15" s="593">
        <v>64</v>
      </c>
      <c r="K15" s="593">
        <v>70</v>
      </c>
      <c r="L15" s="594">
        <v>348</v>
      </c>
      <c r="M15" s="594">
        <v>671</v>
      </c>
      <c r="N15" s="595">
        <v>22</v>
      </c>
      <c r="O15" s="593">
        <v>30</v>
      </c>
      <c r="P15" s="593">
        <v>258</v>
      </c>
      <c r="Q15" s="593">
        <v>17</v>
      </c>
      <c r="R15" s="596">
        <v>3</v>
      </c>
      <c r="S15" s="1"/>
      <c r="T15" s="1"/>
      <c r="U15" s="1"/>
      <c r="V15" s="1"/>
    </row>
    <row r="16" spans="1:22" customFormat="1" ht="15" x14ac:dyDescent="0.25">
      <c r="A16" s="589" t="s">
        <v>921</v>
      </c>
      <c r="B16" s="593">
        <v>28</v>
      </c>
      <c r="C16" s="593">
        <v>22</v>
      </c>
      <c r="D16" s="593">
        <v>29</v>
      </c>
      <c r="E16" s="593">
        <v>21</v>
      </c>
      <c r="F16" s="594">
        <v>100</v>
      </c>
      <c r="G16" s="593">
        <v>24</v>
      </c>
      <c r="H16" s="593">
        <v>26</v>
      </c>
      <c r="I16" s="593">
        <v>27</v>
      </c>
      <c r="J16" s="593">
        <v>33</v>
      </c>
      <c r="K16" s="593">
        <v>20</v>
      </c>
      <c r="L16" s="594">
        <v>130</v>
      </c>
      <c r="M16" s="594">
        <v>230</v>
      </c>
      <c r="N16" s="595">
        <v>-1</v>
      </c>
      <c r="O16" s="593">
        <v>12</v>
      </c>
      <c r="P16" s="593">
        <v>88</v>
      </c>
      <c r="Q16" s="593">
        <v>15</v>
      </c>
      <c r="R16" s="596">
        <v>3</v>
      </c>
      <c r="S16" s="1"/>
      <c r="T16" s="362"/>
      <c r="U16" s="1"/>
      <c r="V16" s="1"/>
    </row>
    <row r="17" spans="1:18" customFormat="1" ht="24.75" customHeight="1" x14ac:dyDescent="0.25">
      <c r="A17" s="598" t="s">
        <v>922</v>
      </c>
      <c r="B17" s="594">
        <f t="shared" ref="B17:M17" si="0">SUM(B8:B16)</f>
        <v>528</v>
      </c>
      <c r="C17" s="594">
        <f t="shared" si="0"/>
        <v>522</v>
      </c>
      <c r="D17" s="594">
        <f t="shared" si="0"/>
        <v>501</v>
      </c>
      <c r="E17" s="594">
        <f t="shared" si="0"/>
        <v>519</v>
      </c>
      <c r="F17" s="594">
        <f t="shared" si="0"/>
        <v>2070</v>
      </c>
      <c r="G17" s="594">
        <f t="shared" si="0"/>
        <v>496</v>
      </c>
      <c r="H17" s="594">
        <f t="shared" si="0"/>
        <v>438</v>
      </c>
      <c r="I17" s="594">
        <f t="shared" si="0"/>
        <v>449</v>
      </c>
      <c r="J17" s="594">
        <f t="shared" si="0"/>
        <v>450</v>
      </c>
      <c r="K17" s="594">
        <f t="shared" si="0"/>
        <v>416</v>
      </c>
      <c r="L17" s="594">
        <f t="shared" si="0"/>
        <v>2249</v>
      </c>
      <c r="M17" s="594">
        <f t="shared" si="0"/>
        <v>4319</v>
      </c>
      <c r="N17" s="594"/>
      <c r="O17" s="594">
        <f>SUM(O8:O16)</f>
        <v>204</v>
      </c>
      <c r="P17" s="594">
        <f>SUM(P8:P16)</f>
        <v>1742</v>
      </c>
      <c r="Q17" s="594">
        <v>128</v>
      </c>
      <c r="R17" s="599">
        <v>16</v>
      </c>
    </row>
    <row r="18" spans="1:18" customFormat="1" ht="15" x14ac:dyDescent="0.25">
      <c r="A18" s="589" t="s">
        <v>923</v>
      </c>
      <c r="B18" s="593">
        <v>26</v>
      </c>
      <c r="C18" s="593">
        <v>24</v>
      </c>
      <c r="D18" s="593">
        <v>25</v>
      </c>
      <c r="E18" s="593">
        <v>25</v>
      </c>
      <c r="F18" s="594"/>
      <c r="G18" s="593">
        <v>22</v>
      </c>
      <c r="H18" s="593">
        <v>19</v>
      </c>
      <c r="I18" s="593">
        <v>20</v>
      </c>
      <c r="J18" s="593">
        <v>22</v>
      </c>
      <c r="K18" s="593">
        <v>20</v>
      </c>
      <c r="L18" s="594"/>
      <c r="M18" s="594"/>
      <c r="N18" s="593"/>
      <c r="O18" s="600"/>
      <c r="P18" s="593"/>
      <c r="Q18" s="593"/>
      <c r="R18" s="601"/>
    </row>
    <row r="19" spans="1:18" customFormat="1" ht="26.25" thickBot="1" x14ac:dyDescent="0.3">
      <c r="A19" s="602" t="s">
        <v>924</v>
      </c>
      <c r="B19" s="603">
        <v>20</v>
      </c>
      <c r="C19" s="603">
        <v>22</v>
      </c>
      <c r="D19" s="603">
        <v>20</v>
      </c>
      <c r="E19" s="603">
        <v>21</v>
      </c>
      <c r="F19" s="604"/>
      <c r="G19" s="603">
        <v>23</v>
      </c>
      <c r="H19" s="603">
        <v>23</v>
      </c>
      <c r="I19" s="603">
        <v>22</v>
      </c>
      <c r="J19" s="603">
        <v>20</v>
      </c>
      <c r="K19" s="603">
        <v>21</v>
      </c>
      <c r="L19" s="604"/>
      <c r="M19" s="604"/>
      <c r="N19" s="605"/>
      <c r="O19" s="603"/>
      <c r="P19" s="603"/>
      <c r="Q19" s="603"/>
      <c r="R19" s="606"/>
    </row>
    <row r="20" spans="1:18" customFormat="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customFormat="1" ht="15" x14ac:dyDescent="0.25">
      <c r="A21" s="738" t="s">
        <v>925</v>
      </c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</row>
    <row r="22" spans="1:18" customFormat="1" ht="15" x14ac:dyDescent="0.25">
      <c r="A22" s="739" t="s">
        <v>926</v>
      </c>
      <c r="B22" s="739"/>
      <c r="C22" s="739"/>
      <c r="D22" s="739"/>
      <c r="E22" s="739"/>
      <c r="F22" s="739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27"/>
    </row>
    <row r="23" spans="1:18" customFormat="1" ht="15" x14ac:dyDescent="0.25">
      <c r="A23" s="739" t="s">
        <v>927</v>
      </c>
      <c r="B23" s="739"/>
      <c r="C23" s="739"/>
      <c r="D23" s="739"/>
      <c r="E23" s="739"/>
      <c r="F23" s="739"/>
      <c r="G23" s="739"/>
      <c r="H23" s="27"/>
      <c r="I23" s="27"/>
      <c r="J23" s="27"/>
      <c r="K23" s="27"/>
      <c r="L23" s="684"/>
      <c r="M23" s="684"/>
      <c r="N23" s="684"/>
      <c r="O23" s="684"/>
      <c r="P23" s="684"/>
      <c r="Q23" s="684"/>
      <c r="R23" s="27"/>
    </row>
    <row r="24" spans="1:18" customFormat="1" ht="15" x14ac:dyDescent="0.25">
      <c r="A24" s="740" t="s">
        <v>928</v>
      </c>
      <c r="B24" s="740"/>
      <c r="C24" s="740"/>
      <c r="D24" s="740"/>
      <c r="E24" s="740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customFormat="1" ht="15" x14ac:dyDescent="0.25">
      <c r="A25" s="684" t="s">
        <v>929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</row>
    <row r="26" spans="1:18" customFormat="1" ht="15" x14ac:dyDescent="0.25">
      <c r="A26" s="741" t="s">
        <v>930</v>
      </c>
      <c r="B26" s="741"/>
      <c r="C26" s="741"/>
      <c r="D26" s="74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customFormat="1" ht="28.5" customHeight="1" x14ac:dyDescent="0.25">
      <c r="A27" s="684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</row>
  </sheetData>
  <mergeCells count="13">
    <mergeCell ref="A27:R27"/>
    <mergeCell ref="A3:R3"/>
    <mergeCell ref="A4:Q4"/>
    <mergeCell ref="A5:R5"/>
    <mergeCell ref="A6:R6"/>
    <mergeCell ref="A21:R21"/>
    <mergeCell ref="A22:F22"/>
    <mergeCell ref="G22:Q22"/>
    <mergeCell ref="A23:G23"/>
    <mergeCell ref="L23:Q23"/>
    <mergeCell ref="A24:E24"/>
    <mergeCell ref="A25:R25"/>
    <mergeCell ref="A26:D26"/>
  </mergeCells>
  <pageMargins left="0.511811023622047" right="0.511811023622047" top="0.74803149606299213" bottom="0.74803149606299213" header="0.31496062992126012" footer="0.31496062992126012"/>
  <pageSetup paperSize="9" fitToWidth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/>
  </sheetViews>
  <sheetFormatPr defaultRowHeight="14.25" x14ac:dyDescent="0.2"/>
  <cols>
    <col min="1" max="1" width="9.140625" style="1" customWidth="1"/>
    <col min="2" max="2" width="3.42578125" style="43" customWidth="1"/>
    <col min="3" max="3" width="56.7109375" style="1" customWidth="1"/>
    <col min="4" max="4" width="15.85546875" style="362" customWidth="1"/>
    <col min="5" max="5" width="9.140625" style="1" customWidth="1"/>
    <col min="6" max="6" width="13" style="1" customWidth="1"/>
    <col min="7" max="7" width="11.7109375" style="1" customWidth="1"/>
    <col min="8" max="8" width="11.85546875" style="1" customWidth="1"/>
    <col min="9" max="9" width="12.42578125" style="1" customWidth="1"/>
    <col min="10" max="10" width="9.140625" style="1" customWidth="1"/>
    <col min="11" max="16384" width="9.140625" style="1"/>
  </cols>
  <sheetData>
    <row r="2" spans="2:13" x14ac:dyDescent="0.2">
      <c r="D2" s="362" t="s">
        <v>931</v>
      </c>
    </row>
    <row r="3" spans="2:13" ht="15" thickBot="1" x14ac:dyDescent="0.25"/>
    <row r="4" spans="2:13" ht="15" x14ac:dyDescent="0.25">
      <c r="B4" s="742" t="s">
        <v>932</v>
      </c>
      <c r="C4" s="742"/>
      <c r="D4" s="742"/>
    </row>
    <row r="5" spans="2:13" ht="15" x14ac:dyDescent="0.25">
      <c r="B5" s="607"/>
      <c r="C5" s="608"/>
      <c r="D5" s="609" t="s">
        <v>933</v>
      </c>
      <c r="M5" s="492"/>
    </row>
    <row r="6" spans="2:13" x14ac:dyDescent="0.2">
      <c r="B6" s="276">
        <v>1</v>
      </c>
      <c r="C6" s="610" t="s">
        <v>934</v>
      </c>
      <c r="D6" s="611">
        <v>38353</v>
      </c>
    </row>
    <row r="7" spans="2:13" x14ac:dyDescent="0.2">
      <c r="B7" s="276">
        <v>2</v>
      </c>
      <c r="C7" s="610" t="s">
        <v>935</v>
      </c>
      <c r="D7" s="611">
        <v>37257</v>
      </c>
      <c r="F7" s="612"/>
    </row>
    <row r="8" spans="2:13" x14ac:dyDescent="0.2">
      <c r="B8" s="276">
        <v>3</v>
      </c>
      <c r="C8" s="610" t="s">
        <v>936</v>
      </c>
      <c r="D8" s="611">
        <v>37438</v>
      </c>
    </row>
    <row r="9" spans="2:13" x14ac:dyDescent="0.2">
      <c r="B9" s="276">
        <v>4</v>
      </c>
      <c r="C9" s="610" t="s">
        <v>937</v>
      </c>
      <c r="D9" s="611">
        <v>37438</v>
      </c>
    </row>
    <row r="10" spans="2:13" x14ac:dyDescent="0.2">
      <c r="B10" s="276">
        <v>5</v>
      </c>
      <c r="C10" s="610" t="s">
        <v>938</v>
      </c>
      <c r="D10" s="611">
        <v>37438</v>
      </c>
      <c r="F10" s="612"/>
    </row>
    <row r="11" spans="2:13" x14ac:dyDescent="0.2">
      <c r="B11" s="276">
        <v>6</v>
      </c>
      <c r="C11" s="610" t="s">
        <v>939</v>
      </c>
      <c r="D11" s="611">
        <v>37438</v>
      </c>
      <c r="F11" s="612"/>
    </row>
    <row r="12" spans="2:13" x14ac:dyDescent="0.2">
      <c r="B12" s="276">
        <v>7</v>
      </c>
      <c r="C12" s="610" t="s">
        <v>940</v>
      </c>
      <c r="D12" s="611">
        <v>37438</v>
      </c>
      <c r="H12" s="612"/>
    </row>
    <row r="13" spans="2:13" x14ac:dyDescent="0.2">
      <c r="B13" s="276">
        <v>8</v>
      </c>
      <c r="C13" s="610" t="s">
        <v>941</v>
      </c>
      <c r="D13" s="611">
        <v>37438</v>
      </c>
      <c r="H13" s="612"/>
    </row>
    <row r="14" spans="2:13" x14ac:dyDescent="0.2">
      <c r="B14" s="276">
        <v>9</v>
      </c>
      <c r="C14" s="610" t="s">
        <v>942</v>
      </c>
      <c r="D14" s="611">
        <v>37438</v>
      </c>
      <c r="H14" s="612"/>
    </row>
    <row r="15" spans="2:13" x14ac:dyDescent="0.2">
      <c r="B15" s="276">
        <v>10</v>
      </c>
      <c r="C15" s="610" t="s">
        <v>943</v>
      </c>
      <c r="D15" s="611">
        <v>37438</v>
      </c>
      <c r="F15" s="612"/>
    </row>
    <row r="16" spans="2:13" x14ac:dyDescent="0.2">
      <c r="B16" s="276">
        <v>11</v>
      </c>
      <c r="C16" s="610" t="s">
        <v>944</v>
      </c>
      <c r="D16" s="611">
        <v>37438</v>
      </c>
      <c r="H16" s="612"/>
    </row>
    <row r="17" spans="2:9" x14ac:dyDescent="0.2">
      <c r="B17" s="276">
        <v>12</v>
      </c>
      <c r="C17" s="610" t="s">
        <v>945</v>
      </c>
      <c r="D17" s="611">
        <v>37438</v>
      </c>
      <c r="G17" s="612"/>
    </row>
    <row r="18" spans="2:9" x14ac:dyDescent="0.2">
      <c r="B18" s="276">
        <v>13</v>
      </c>
      <c r="C18" s="610" t="s">
        <v>946</v>
      </c>
      <c r="D18" s="611">
        <v>37438</v>
      </c>
      <c r="I18" s="612"/>
    </row>
    <row r="19" spans="2:9" x14ac:dyDescent="0.2">
      <c r="B19" s="276">
        <v>14</v>
      </c>
      <c r="C19" s="610" t="s">
        <v>947</v>
      </c>
      <c r="D19" s="611">
        <v>41640</v>
      </c>
      <c r="H19" s="612"/>
    </row>
    <row r="20" spans="2:9" x14ac:dyDescent="0.2">
      <c r="B20" s="607"/>
      <c r="C20" s="613"/>
      <c r="D20" s="609"/>
      <c r="H20" s="612"/>
    </row>
    <row r="21" spans="2:9" ht="15" thickBot="1" x14ac:dyDescent="0.25">
      <c r="B21" s="614"/>
      <c r="C21" s="615" t="s">
        <v>948</v>
      </c>
      <c r="D21" s="616"/>
      <c r="H21" s="612"/>
    </row>
  </sheetData>
  <mergeCells count="1">
    <mergeCell ref="B4:D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/>
  </sheetViews>
  <sheetFormatPr defaultRowHeight="15" x14ac:dyDescent="0.25"/>
  <cols>
    <col min="1" max="1" width="9.140625" customWidth="1"/>
    <col min="2" max="2" width="6.7109375" bestFit="1" customWidth="1"/>
    <col min="3" max="3" width="61.28515625" bestFit="1" customWidth="1"/>
    <col min="4" max="4" width="13.42578125" customWidth="1"/>
    <col min="5" max="5" width="2.42578125" style="195" customWidth="1"/>
    <col min="6" max="6" width="9.140625" customWidth="1"/>
  </cols>
  <sheetData>
    <row r="2" spans="2:5" x14ac:dyDescent="0.25">
      <c r="D2" t="s">
        <v>949</v>
      </c>
    </row>
    <row r="3" spans="2:5" ht="37.5" customHeight="1" x14ac:dyDescent="0.25">
      <c r="B3" s="743" t="s">
        <v>950</v>
      </c>
      <c r="C3" s="743"/>
      <c r="D3" s="743"/>
    </row>
    <row r="4" spans="2:5" x14ac:dyDescent="0.25">
      <c r="B4" s="617"/>
      <c r="D4" s="618"/>
      <c r="E4" s="619"/>
    </row>
    <row r="5" spans="2:5" ht="25.5" x14ac:dyDescent="0.25">
      <c r="B5" s="620" t="s">
        <v>951</v>
      </c>
      <c r="C5" s="621" t="s">
        <v>952</v>
      </c>
      <c r="D5" s="621" t="s">
        <v>953</v>
      </c>
      <c r="E5" s="622"/>
    </row>
    <row r="6" spans="2:5" x14ac:dyDescent="0.25">
      <c r="B6" s="623">
        <v>1</v>
      </c>
      <c r="C6" s="624" t="s">
        <v>954</v>
      </c>
      <c r="D6" s="625">
        <f>D7+D8+D9+D10</f>
        <v>62185094</v>
      </c>
      <c r="E6" s="626"/>
    </row>
    <row r="7" spans="2:5" x14ac:dyDescent="0.25">
      <c r="B7" s="627">
        <v>2</v>
      </c>
      <c r="C7" s="511" t="s">
        <v>955</v>
      </c>
      <c r="D7" s="515">
        <f>[1]Príjmy!H6</f>
        <v>29455319</v>
      </c>
      <c r="E7" s="628"/>
    </row>
    <row r="8" spans="2:5" x14ac:dyDescent="0.25">
      <c r="B8" s="627">
        <v>3</v>
      </c>
      <c r="C8" s="511" t="s">
        <v>956</v>
      </c>
      <c r="D8" s="515">
        <f>[1]Príjmy!H22+[1]Príjmy!H503</f>
        <v>6746834</v>
      </c>
      <c r="E8" s="628"/>
    </row>
    <row r="9" spans="2:5" x14ac:dyDescent="0.25">
      <c r="B9" s="627">
        <v>4</v>
      </c>
      <c r="C9" s="511" t="s">
        <v>957</v>
      </c>
      <c r="D9" s="515">
        <f>[1]Príjmy!H510+[1]Príjmy!H421</f>
        <v>12184927</v>
      </c>
      <c r="E9" s="628"/>
    </row>
    <row r="10" spans="2:5" x14ac:dyDescent="0.25">
      <c r="B10" s="627">
        <v>5</v>
      </c>
      <c r="C10" s="511" t="s">
        <v>958</v>
      </c>
      <c r="D10" s="515">
        <f>D11+D12</f>
        <v>13798014</v>
      </c>
      <c r="E10" s="628"/>
    </row>
    <row r="11" spans="2:5" x14ac:dyDescent="0.25">
      <c r="B11" s="627">
        <v>6</v>
      </c>
      <c r="C11" s="511" t="s">
        <v>959</v>
      </c>
      <c r="D11" s="515">
        <f>[1]Sumarizácia!L23+[1]Sumarizácia!L24+[1]Sumarizácia!L25+[1]Sumarizácia!L26+[1]Sumarizácia!L30+[1]Sumarizácia!L31+[1]Sumarizácia!L32+[1]Sumarizácia!L33+[1]Sumarizácia!L34+[1]Sumarizácia!L35+[1]Sumarizácia!L36+[1]Sumarizácia!L37+[1]Sumarizácia!L38+[1]Sumarizácia!L39+[1]Sumarizácia!L40+[1]Sumarizácia!L41+[1]Sumarizácia!L42+[1]Sumarizácia!L43</f>
        <v>8287964</v>
      </c>
      <c r="E11" s="628"/>
    </row>
    <row r="12" spans="2:5" x14ac:dyDescent="0.25">
      <c r="B12" s="627">
        <v>7</v>
      </c>
      <c r="C12" s="511" t="s">
        <v>960</v>
      </c>
      <c r="D12" s="515">
        <f>[1]Sumarizácia!L27+[1]Sumarizácia!L28+[1]Sumarizácia!L29</f>
        <v>5510050</v>
      </c>
      <c r="E12" s="628"/>
    </row>
    <row r="13" spans="2:5" x14ac:dyDescent="0.25">
      <c r="B13" s="623">
        <v>8</v>
      </c>
      <c r="C13" s="624" t="s">
        <v>961</v>
      </c>
      <c r="D13" s="625">
        <f>D14+D15+D16</f>
        <v>55748533</v>
      </c>
      <c r="E13" s="626"/>
    </row>
    <row r="14" spans="2:5" x14ac:dyDescent="0.25">
      <c r="B14" s="627">
        <v>9</v>
      </c>
      <c r="C14" s="511" t="s">
        <v>962</v>
      </c>
      <c r="D14" s="515">
        <f>[1]Sumarizácia!F4</f>
        <v>38899319</v>
      </c>
      <c r="E14" s="628"/>
    </row>
    <row r="15" spans="2:5" x14ac:dyDescent="0.25">
      <c r="B15" s="627">
        <v>10</v>
      </c>
      <c r="C15" s="511" t="s">
        <v>963</v>
      </c>
      <c r="D15" s="515">
        <f>[1]Sumarizácia!I4</f>
        <v>13573459</v>
      </c>
      <c r="E15" s="628"/>
    </row>
    <row r="16" spans="2:5" x14ac:dyDescent="0.25">
      <c r="B16" s="627">
        <v>11</v>
      </c>
      <c r="C16" s="511" t="s">
        <v>964</v>
      </c>
      <c r="D16" s="515">
        <f>[1]Sumarizácia!L44</f>
        <v>3275755</v>
      </c>
      <c r="E16" s="628"/>
    </row>
    <row r="17" spans="2:5" x14ac:dyDescent="0.25">
      <c r="B17" s="629">
        <v>12</v>
      </c>
      <c r="C17" s="630" t="s">
        <v>965</v>
      </c>
      <c r="D17" s="631">
        <f>D6-D13</f>
        <v>6436561</v>
      </c>
      <c r="E17" s="632"/>
    </row>
    <row r="18" spans="2:5" ht="25.5" x14ac:dyDescent="0.25">
      <c r="B18" s="629">
        <v>13</v>
      </c>
      <c r="C18" s="633" t="s">
        <v>966</v>
      </c>
      <c r="D18" s="631">
        <f>D6-D10-D13+D16</f>
        <v>-4085698</v>
      </c>
      <c r="E18" s="632"/>
    </row>
    <row r="19" spans="2:5" x14ac:dyDescent="0.25">
      <c r="B19" s="627"/>
      <c r="C19" s="634"/>
      <c r="D19" s="635"/>
      <c r="E19" s="636"/>
    </row>
    <row r="20" spans="2:5" x14ac:dyDescent="0.25">
      <c r="B20" s="623">
        <v>14</v>
      </c>
      <c r="C20" s="637" t="s">
        <v>967</v>
      </c>
      <c r="D20" s="638">
        <f>D21-D22</f>
        <v>-119683</v>
      </c>
      <c r="E20" s="639"/>
    </row>
    <row r="21" spans="2:5" x14ac:dyDescent="0.25">
      <c r="B21" s="627">
        <v>15</v>
      </c>
      <c r="C21" s="511" t="s">
        <v>968</v>
      </c>
      <c r="D21" s="515">
        <v>1088974</v>
      </c>
      <c r="E21" s="628"/>
    </row>
    <row r="22" spans="2:5" x14ac:dyDescent="0.25">
      <c r="B22" s="627">
        <v>16</v>
      </c>
      <c r="C22" s="511" t="s">
        <v>969</v>
      </c>
      <c r="D22" s="515">
        <v>1208657</v>
      </c>
      <c r="E22" s="628"/>
    </row>
    <row r="23" spans="2:5" x14ac:dyDescent="0.25">
      <c r="B23" s="623">
        <v>17</v>
      </c>
      <c r="C23" s="637" t="s">
        <v>970</v>
      </c>
      <c r="D23" s="638">
        <f>D25-D24</f>
        <v>-2920292</v>
      </c>
      <c r="E23" s="639"/>
    </row>
    <row r="24" spans="2:5" x14ac:dyDescent="0.25">
      <c r="B24" s="627">
        <v>18</v>
      </c>
      <c r="C24" s="511" t="s">
        <v>971</v>
      </c>
      <c r="D24" s="515">
        <v>4928664</v>
      </c>
      <c r="E24" s="628"/>
    </row>
    <row r="25" spans="2:5" x14ac:dyDescent="0.25">
      <c r="B25" s="627">
        <v>19</v>
      </c>
      <c r="C25" s="511" t="s">
        <v>972</v>
      </c>
      <c r="D25" s="515">
        <v>2008372</v>
      </c>
      <c r="E25" s="628"/>
    </row>
    <row r="26" spans="2:5" x14ac:dyDescent="0.25">
      <c r="B26" s="623">
        <v>20</v>
      </c>
      <c r="C26" s="624" t="s">
        <v>973</v>
      </c>
      <c r="D26" s="625">
        <f>D20+D23</f>
        <v>-3039975</v>
      </c>
      <c r="E26" s="626"/>
    </row>
    <row r="27" spans="2:5" x14ac:dyDescent="0.25">
      <c r="B27" s="640">
        <v>21</v>
      </c>
      <c r="C27" s="640" t="s">
        <v>974</v>
      </c>
      <c r="D27" s="641">
        <f>D18+D26</f>
        <v>-7125673</v>
      </c>
      <c r="E27" s="642"/>
    </row>
    <row r="28" spans="2:5" x14ac:dyDescent="0.25">
      <c r="B28" s="643" t="s">
        <v>273</v>
      </c>
    </row>
    <row r="29" spans="2:5" ht="57.75" customHeight="1" x14ac:dyDescent="0.25">
      <c r="B29" s="744" t="s">
        <v>975</v>
      </c>
      <c r="C29" s="744"/>
      <c r="D29" s="744"/>
    </row>
    <row r="30" spans="2:5" ht="107.25" customHeight="1" x14ac:dyDescent="0.25">
      <c r="B30" s="744" t="s">
        <v>976</v>
      </c>
      <c r="C30" s="744"/>
      <c r="D30" s="744"/>
    </row>
    <row r="31" spans="2:5" ht="29.25" customHeight="1" x14ac:dyDescent="0.25">
      <c r="B31" s="744" t="s">
        <v>977</v>
      </c>
      <c r="C31" s="744"/>
      <c r="D31" s="744"/>
    </row>
    <row r="32" spans="2:5" x14ac:dyDescent="0.25">
      <c r="B32" s="617"/>
    </row>
    <row r="33" spans="2:3" x14ac:dyDescent="0.25">
      <c r="B33" s="617"/>
      <c r="C33" s="643"/>
    </row>
    <row r="34" spans="2:3" x14ac:dyDescent="0.25">
      <c r="B34" s="617"/>
    </row>
  </sheetData>
  <mergeCells count="4">
    <mergeCell ref="B3:D3"/>
    <mergeCell ref="B29:D29"/>
    <mergeCell ref="B30:D30"/>
    <mergeCell ref="B31:D31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3"/>
  <sheetViews>
    <sheetView workbookViewId="0"/>
  </sheetViews>
  <sheetFormatPr defaultRowHeight="14.25" x14ac:dyDescent="0.2"/>
  <cols>
    <col min="1" max="1" width="2" style="1" customWidth="1"/>
    <col min="2" max="2" width="22.7109375" style="1" customWidth="1"/>
    <col min="3" max="3" width="12.42578125" style="1" customWidth="1"/>
    <col min="4" max="4" width="11.28515625" style="1" customWidth="1"/>
    <col min="5" max="5" width="12.42578125" style="1" customWidth="1"/>
    <col min="6" max="6" width="13.28515625" style="1" customWidth="1"/>
    <col min="7" max="7" width="13.140625" style="1" customWidth="1"/>
    <col min="8" max="8" width="13" style="1" customWidth="1"/>
    <col min="9" max="9" width="11.5703125" style="1" customWidth="1"/>
    <col min="10" max="10" width="13.42578125" style="1" customWidth="1"/>
    <col min="11" max="11" width="10.28515625" style="1" customWidth="1"/>
    <col min="12" max="12" width="9.140625" style="1" customWidth="1"/>
    <col min="13" max="16384" width="9.140625" style="1"/>
  </cols>
  <sheetData>
    <row r="2" spans="2:11" x14ac:dyDescent="0.2">
      <c r="G2" s="27" t="s">
        <v>94</v>
      </c>
    </row>
    <row r="3" spans="2:11" ht="23.25" customHeight="1" x14ac:dyDescent="0.2">
      <c r="B3" s="655" t="s">
        <v>95</v>
      </c>
      <c r="C3" s="655"/>
      <c r="D3" s="655"/>
      <c r="E3" s="655"/>
      <c r="F3" s="655"/>
      <c r="G3" s="655"/>
      <c r="H3" s="93"/>
      <c r="I3" s="93"/>
      <c r="J3" s="93"/>
      <c r="K3" s="93"/>
    </row>
    <row r="4" spans="2:11" ht="8.25" customHeight="1" thickBot="1" x14ac:dyDescent="0.25"/>
    <row r="5" spans="2:11" s="94" customFormat="1" ht="18.75" customHeight="1" thickBot="1" x14ac:dyDescent="0.25">
      <c r="B5" s="656" t="s">
        <v>96</v>
      </c>
      <c r="C5" s="656"/>
      <c r="D5" s="656"/>
      <c r="E5" s="95">
        <f>E6+E11+E16+E18+E23+E27+E20</f>
        <v>1016807</v>
      </c>
    </row>
    <row r="6" spans="2:11" ht="15.75" thickTop="1" x14ac:dyDescent="0.25">
      <c r="B6" s="657" t="s">
        <v>97</v>
      </c>
      <c r="C6" s="657"/>
      <c r="D6" s="657"/>
      <c r="E6" s="96">
        <f>SUM(E7:E10)</f>
        <v>106719</v>
      </c>
    </row>
    <row r="7" spans="2:11" x14ac:dyDescent="0.2">
      <c r="B7" s="651" t="s">
        <v>98</v>
      </c>
      <c r="C7" s="651"/>
      <c r="D7" s="651"/>
      <c r="E7" s="97">
        <v>91717</v>
      </c>
    </row>
    <row r="8" spans="2:11" x14ac:dyDescent="0.2">
      <c r="B8" s="651" t="s">
        <v>99</v>
      </c>
      <c r="C8" s="651"/>
      <c r="D8" s="651"/>
      <c r="E8" s="97">
        <v>8449</v>
      </c>
    </row>
    <row r="9" spans="2:11" x14ac:dyDescent="0.2">
      <c r="B9" s="651" t="s">
        <v>100</v>
      </c>
      <c r="C9" s="651"/>
      <c r="D9" s="651"/>
      <c r="E9" s="97">
        <v>5879</v>
      </c>
    </row>
    <row r="10" spans="2:11" x14ac:dyDescent="0.2">
      <c r="B10" s="651" t="s">
        <v>101</v>
      </c>
      <c r="C10" s="651"/>
      <c r="D10" s="651"/>
      <c r="E10" s="97">
        <v>674</v>
      </c>
    </row>
    <row r="11" spans="2:11" ht="15" x14ac:dyDescent="0.25">
      <c r="B11" s="653" t="s">
        <v>102</v>
      </c>
      <c r="C11" s="653"/>
      <c r="D11" s="653"/>
      <c r="E11" s="98">
        <f>SUM(E12:E15)</f>
        <v>361651</v>
      </c>
    </row>
    <row r="12" spans="2:11" x14ac:dyDescent="0.2">
      <c r="B12" s="651" t="s">
        <v>103</v>
      </c>
      <c r="C12" s="651"/>
      <c r="D12" s="651"/>
      <c r="E12" s="97">
        <v>209431</v>
      </c>
    </row>
    <row r="13" spans="2:11" x14ac:dyDescent="0.2">
      <c r="B13" s="651" t="s">
        <v>104</v>
      </c>
      <c r="C13" s="651"/>
      <c r="D13" s="651"/>
      <c r="E13" s="97">
        <v>540</v>
      </c>
    </row>
    <row r="14" spans="2:11" x14ac:dyDescent="0.2">
      <c r="B14" s="651" t="s">
        <v>105</v>
      </c>
      <c r="C14" s="651"/>
      <c r="D14" s="651"/>
      <c r="E14" s="97">
        <v>151314</v>
      </c>
    </row>
    <row r="15" spans="2:11" x14ac:dyDescent="0.2">
      <c r="B15" s="651" t="s">
        <v>106</v>
      </c>
      <c r="C15" s="651"/>
      <c r="D15" s="651"/>
      <c r="E15" s="97">
        <v>366</v>
      </c>
    </row>
    <row r="16" spans="2:11" ht="15" x14ac:dyDescent="0.25">
      <c r="B16" s="653" t="s">
        <v>107</v>
      </c>
      <c r="C16" s="653"/>
      <c r="D16" s="653"/>
      <c r="E16" s="98">
        <f>E17</f>
        <v>131186</v>
      </c>
    </row>
    <row r="17" spans="2:12" ht="24.75" customHeight="1" x14ac:dyDescent="0.2">
      <c r="B17" s="651" t="s">
        <v>108</v>
      </c>
      <c r="C17" s="651"/>
      <c r="D17" s="651"/>
      <c r="E17" s="99">
        <v>131186</v>
      </c>
    </row>
    <row r="18" spans="2:12" ht="15" x14ac:dyDescent="0.25">
      <c r="B18" s="653" t="s">
        <v>109</v>
      </c>
      <c r="C18" s="653"/>
      <c r="D18" s="653"/>
      <c r="E18" s="98">
        <f>E19</f>
        <v>996</v>
      </c>
    </row>
    <row r="19" spans="2:12" ht="12.75" customHeight="1" x14ac:dyDescent="0.2">
      <c r="B19" s="654" t="s">
        <v>110</v>
      </c>
      <c r="C19" s="654"/>
      <c r="D19" s="654"/>
      <c r="E19" s="97">
        <v>996</v>
      </c>
    </row>
    <row r="20" spans="2:12" ht="15" x14ac:dyDescent="0.25">
      <c r="B20" s="653" t="s">
        <v>111</v>
      </c>
      <c r="C20" s="653"/>
      <c r="D20" s="653"/>
      <c r="E20" s="98">
        <f>E22+E21</f>
        <v>11450</v>
      </c>
    </row>
    <row r="21" spans="2:12" x14ac:dyDescent="0.2">
      <c r="B21" s="654" t="s">
        <v>112</v>
      </c>
      <c r="C21" s="654"/>
      <c r="D21" s="654"/>
      <c r="E21" s="97">
        <v>3600</v>
      </c>
    </row>
    <row r="22" spans="2:12" ht="12.75" customHeight="1" x14ac:dyDescent="0.2">
      <c r="B22" s="654" t="s">
        <v>113</v>
      </c>
      <c r="C22" s="654"/>
      <c r="D22" s="654"/>
      <c r="E22" s="97">
        <f>5562+2288</f>
        <v>7850</v>
      </c>
    </row>
    <row r="23" spans="2:12" ht="15" x14ac:dyDescent="0.25">
      <c r="B23" s="653" t="s">
        <v>114</v>
      </c>
      <c r="C23" s="653"/>
      <c r="D23" s="653"/>
      <c r="E23" s="98">
        <f>SUM(E24:E26)</f>
        <v>180082</v>
      </c>
    </row>
    <row r="24" spans="2:12" x14ac:dyDescent="0.2">
      <c r="B24" s="651" t="s">
        <v>115</v>
      </c>
      <c r="C24" s="651"/>
      <c r="D24" s="651"/>
      <c r="E24" s="97">
        <v>125482</v>
      </c>
    </row>
    <row r="25" spans="2:12" x14ac:dyDescent="0.2">
      <c r="B25" s="651" t="s">
        <v>116</v>
      </c>
      <c r="C25" s="651"/>
      <c r="D25" s="651"/>
      <c r="E25" s="97">
        <v>54540</v>
      </c>
    </row>
    <row r="26" spans="2:12" x14ac:dyDescent="0.2">
      <c r="B26" s="651" t="s">
        <v>117</v>
      </c>
      <c r="C26" s="651"/>
      <c r="D26" s="651"/>
      <c r="E26" s="97">
        <v>60</v>
      </c>
    </row>
    <row r="27" spans="2:12" ht="15" x14ac:dyDescent="0.25">
      <c r="B27" s="653" t="s">
        <v>118</v>
      </c>
      <c r="C27" s="653"/>
      <c r="D27" s="653"/>
      <c r="E27" s="98">
        <f>SUM(E28:E35)</f>
        <v>224723</v>
      </c>
    </row>
    <row r="28" spans="2:12" customFormat="1" ht="15" x14ac:dyDescent="0.25">
      <c r="B28" s="651" t="s">
        <v>119</v>
      </c>
      <c r="C28" s="651"/>
      <c r="D28" s="651"/>
      <c r="E28" s="97">
        <v>43</v>
      </c>
      <c r="F28" s="1"/>
      <c r="G28" s="1"/>
      <c r="H28" s="1"/>
      <c r="I28" s="1"/>
      <c r="J28" s="1"/>
      <c r="K28" s="1"/>
      <c r="L28" s="1"/>
    </row>
    <row r="29" spans="2:12" customFormat="1" ht="15" x14ac:dyDescent="0.25">
      <c r="B29" s="651" t="s">
        <v>120</v>
      </c>
      <c r="C29" s="651"/>
      <c r="D29" s="651"/>
      <c r="E29" s="97">
        <v>13939</v>
      </c>
      <c r="F29" s="1"/>
      <c r="G29" s="1"/>
      <c r="H29" s="1"/>
      <c r="I29" s="1"/>
      <c r="J29" s="1"/>
      <c r="K29" s="1"/>
      <c r="L29" s="1"/>
    </row>
    <row r="30" spans="2:12" customFormat="1" ht="15" x14ac:dyDescent="0.25">
      <c r="B30" s="652" t="s">
        <v>121</v>
      </c>
      <c r="C30" s="652"/>
      <c r="D30" s="652"/>
      <c r="E30" s="100">
        <v>6721</v>
      </c>
      <c r="F30" s="1"/>
      <c r="G30" s="1"/>
      <c r="H30" s="1"/>
      <c r="I30" s="1"/>
      <c r="J30" s="1"/>
      <c r="K30" s="1"/>
      <c r="L30" s="1"/>
    </row>
    <row r="31" spans="2:12" customFormat="1" ht="15" x14ac:dyDescent="0.25">
      <c r="B31" s="652" t="s">
        <v>122</v>
      </c>
      <c r="C31" s="652"/>
      <c r="D31" s="652"/>
      <c r="E31" s="97">
        <v>2533</v>
      </c>
      <c r="F31" s="1"/>
      <c r="G31" s="1"/>
      <c r="H31" s="1"/>
      <c r="I31" s="1"/>
      <c r="J31" s="1"/>
      <c r="K31" s="1"/>
    </row>
    <row r="32" spans="2:12" customFormat="1" ht="15" x14ac:dyDescent="0.25">
      <c r="B32" s="652" t="s">
        <v>123</v>
      </c>
      <c r="C32" s="652"/>
      <c r="D32" s="652"/>
      <c r="E32" s="101">
        <v>4900</v>
      </c>
      <c r="F32" s="1"/>
      <c r="G32" s="1"/>
      <c r="H32" s="1"/>
      <c r="I32" s="1"/>
      <c r="J32" s="1"/>
      <c r="K32" s="1"/>
    </row>
    <row r="33" spans="2:12" customFormat="1" ht="15" x14ac:dyDescent="0.25">
      <c r="B33" s="649" t="s">
        <v>124</v>
      </c>
      <c r="C33" s="649"/>
      <c r="D33" s="649"/>
      <c r="E33" s="102">
        <v>192287</v>
      </c>
      <c r="F33" s="1"/>
      <c r="G33" s="1"/>
      <c r="H33" s="1"/>
      <c r="I33" s="1"/>
      <c r="J33" s="1"/>
      <c r="K33" s="1"/>
    </row>
    <row r="34" spans="2:12" customFormat="1" ht="15" x14ac:dyDescent="0.25">
      <c r="B34" s="649" t="s">
        <v>125</v>
      </c>
      <c r="C34" s="649"/>
      <c r="D34" s="649"/>
      <c r="E34" s="102">
        <v>2300</v>
      </c>
      <c r="F34" s="1"/>
      <c r="G34" s="1"/>
      <c r="H34" s="1"/>
      <c r="I34" s="1"/>
      <c r="J34" s="1"/>
      <c r="K34" s="1"/>
    </row>
    <row r="35" spans="2:12" customFormat="1" ht="15.75" thickBot="1" x14ac:dyDescent="0.3">
      <c r="B35" s="650" t="s">
        <v>126</v>
      </c>
      <c r="C35" s="650"/>
      <c r="D35" s="650"/>
      <c r="E35" s="103">
        <v>2000</v>
      </c>
      <c r="F35" s="1"/>
      <c r="G35" s="1"/>
      <c r="H35" s="1"/>
      <c r="I35" s="1"/>
      <c r="J35" s="1"/>
      <c r="K35" s="1"/>
    </row>
    <row r="36" spans="2:12" customFormat="1" ht="9.75" customHeight="1" thickBot="1" x14ac:dyDescent="0.3">
      <c r="B36" s="42"/>
      <c r="C36" s="42"/>
      <c r="D36" s="1"/>
      <c r="E36" s="1"/>
      <c r="F36" s="1"/>
      <c r="G36" s="1"/>
      <c r="H36" s="1"/>
      <c r="I36" s="1"/>
      <c r="J36" s="1"/>
      <c r="K36" s="1"/>
      <c r="L36" s="1"/>
    </row>
    <row r="37" spans="2:12" s="43" customFormat="1" ht="90" customHeight="1" thickBot="1" x14ac:dyDescent="0.3">
      <c r="B37" s="44" t="s">
        <v>58</v>
      </c>
      <c r="C37" s="45" t="s">
        <v>127</v>
      </c>
      <c r="D37" s="45" t="s">
        <v>128</v>
      </c>
      <c r="E37" s="45" t="s">
        <v>129</v>
      </c>
      <c r="F37" s="45" t="s">
        <v>130</v>
      </c>
    </row>
    <row r="38" spans="2:12" customFormat="1" ht="15.75" thickTop="1" x14ac:dyDescent="0.25">
      <c r="B38" s="48" t="s">
        <v>65</v>
      </c>
      <c r="C38" s="49">
        <v>138011.35</v>
      </c>
      <c r="D38" s="49">
        <v>32213</v>
      </c>
      <c r="E38" s="49">
        <v>39004.480000000003</v>
      </c>
      <c r="F38" s="49">
        <v>279799</v>
      </c>
      <c r="G38" s="1"/>
      <c r="H38" s="1"/>
      <c r="I38" s="1"/>
      <c r="J38" s="1"/>
      <c r="K38" s="1"/>
      <c r="L38" s="1"/>
    </row>
    <row r="39" spans="2:12" customFormat="1" ht="15" x14ac:dyDescent="0.25">
      <c r="B39" s="52" t="s">
        <v>66</v>
      </c>
      <c r="C39" s="53">
        <v>48892.38</v>
      </c>
      <c r="D39" s="53">
        <v>11936</v>
      </c>
      <c r="E39" s="53">
        <v>14333.74</v>
      </c>
      <c r="F39" s="53">
        <v>100530.12</v>
      </c>
      <c r="G39" s="1"/>
      <c r="H39" s="1"/>
      <c r="I39" s="1"/>
      <c r="J39" s="1"/>
      <c r="K39" s="1"/>
      <c r="L39" s="1"/>
    </row>
    <row r="40" spans="2:12" customFormat="1" ht="15" x14ac:dyDescent="0.25">
      <c r="B40" s="52" t="s">
        <v>67</v>
      </c>
      <c r="C40" s="53">
        <f>SUM(C41:C46)</f>
        <v>59509.049999999996</v>
      </c>
      <c r="D40" s="53">
        <f>SUM(D41:D46)</f>
        <v>19058.36</v>
      </c>
      <c r="E40" s="53">
        <f>SUM(E41:E46)</f>
        <v>10771.83</v>
      </c>
      <c r="F40" s="53">
        <f>SUM(F41:F46)</f>
        <v>207659.32</v>
      </c>
      <c r="G40" s="1"/>
      <c r="H40" s="1"/>
      <c r="I40" s="1"/>
      <c r="J40" s="1"/>
      <c r="K40" s="1"/>
      <c r="L40" s="1"/>
    </row>
    <row r="41" spans="2:12" customFormat="1" ht="15" x14ac:dyDescent="0.25">
      <c r="B41" s="55" t="s">
        <v>131</v>
      </c>
      <c r="C41" s="56">
        <v>0</v>
      </c>
      <c r="D41" s="56">
        <v>0</v>
      </c>
      <c r="E41" s="56">
        <v>99.78</v>
      </c>
      <c r="F41" s="56">
        <v>0</v>
      </c>
      <c r="G41" s="1"/>
      <c r="H41" s="1"/>
      <c r="I41" s="1"/>
      <c r="J41" s="1"/>
      <c r="K41" s="1"/>
      <c r="L41" s="1"/>
    </row>
    <row r="42" spans="2:12" customFormat="1" ht="15" x14ac:dyDescent="0.25">
      <c r="B42" s="55" t="s">
        <v>68</v>
      </c>
      <c r="C42" s="56">
        <v>15100.01</v>
      </c>
      <c r="D42" s="56">
        <v>6408.09</v>
      </c>
      <c r="E42" s="56">
        <v>4673.6099999999997</v>
      </c>
      <c r="F42" s="56">
        <v>49240.05</v>
      </c>
      <c r="G42" s="1"/>
      <c r="H42" s="1"/>
      <c r="I42" s="1"/>
      <c r="J42" s="1"/>
      <c r="K42" s="1"/>
      <c r="L42" s="1"/>
    </row>
    <row r="43" spans="2:12" customFormat="1" ht="15" x14ac:dyDescent="0.25">
      <c r="B43" s="55" t="s">
        <v>69</v>
      </c>
      <c r="C43" s="56">
        <v>23829.73</v>
      </c>
      <c r="D43" s="56">
        <v>884.88</v>
      </c>
      <c r="E43" s="56">
        <v>423.51</v>
      </c>
      <c r="F43" s="56">
        <v>20962.18</v>
      </c>
      <c r="G43" s="1"/>
      <c r="H43" s="1"/>
      <c r="I43" s="1"/>
      <c r="J43" s="1"/>
      <c r="K43" s="1"/>
      <c r="L43" s="1"/>
    </row>
    <row r="44" spans="2:12" customFormat="1" ht="15" x14ac:dyDescent="0.25">
      <c r="B44" s="55" t="s">
        <v>70</v>
      </c>
      <c r="C44" s="56">
        <v>0</v>
      </c>
      <c r="D44" s="56">
        <v>0</v>
      </c>
      <c r="E44" s="56">
        <v>0</v>
      </c>
      <c r="F44" s="56">
        <v>1458.88</v>
      </c>
      <c r="G44" s="1"/>
      <c r="H44" s="1"/>
      <c r="I44" s="1"/>
      <c r="J44" s="1"/>
      <c r="K44" s="1"/>
      <c r="L44" s="51"/>
    </row>
    <row r="45" spans="2:12" customFormat="1" ht="15.75" customHeight="1" x14ac:dyDescent="0.25">
      <c r="B45" s="55" t="s">
        <v>71</v>
      </c>
      <c r="C45" s="56">
        <v>15735.03</v>
      </c>
      <c r="D45" s="56">
        <v>5813.3</v>
      </c>
      <c r="E45" s="56">
        <v>2056.5</v>
      </c>
      <c r="F45" s="56">
        <v>28292.78</v>
      </c>
      <c r="G45" s="1"/>
      <c r="H45" s="1"/>
      <c r="I45" s="1"/>
      <c r="J45" s="1"/>
      <c r="K45" s="1"/>
      <c r="L45" s="1"/>
    </row>
    <row r="46" spans="2:12" customFormat="1" ht="15" x14ac:dyDescent="0.25">
      <c r="B46" s="55" t="s">
        <v>73</v>
      </c>
      <c r="C46" s="56">
        <v>4844.28</v>
      </c>
      <c r="D46" s="56">
        <v>5952.09</v>
      </c>
      <c r="E46" s="56">
        <v>3518.43</v>
      </c>
      <c r="F46" s="56">
        <v>107705.43</v>
      </c>
      <c r="G46" s="1"/>
      <c r="H46" s="1"/>
      <c r="I46" s="1"/>
      <c r="J46" s="1"/>
      <c r="K46" s="1"/>
      <c r="L46" s="1"/>
    </row>
    <row r="47" spans="2:12" customFormat="1" ht="15.75" thickBot="1" x14ac:dyDescent="0.3">
      <c r="B47" s="104" t="s">
        <v>74</v>
      </c>
      <c r="C47" s="105">
        <v>7575.34</v>
      </c>
      <c r="D47" s="105">
        <v>0</v>
      </c>
      <c r="E47" s="105">
        <v>0</v>
      </c>
      <c r="F47" s="105">
        <v>1659.34</v>
      </c>
      <c r="G47" s="1"/>
      <c r="H47" s="1"/>
      <c r="I47" s="1"/>
      <c r="J47" s="1"/>
      <c r="K47" s="1"/>
      <c r="L47" s="1"/>
    </row>
    <row r="48" spans="2:12" customFormat="1" ht="21.75" customHeight="1" thickTop="1" thickBot="1" x14ac:dyDescent="0.3">
      <c r="B48" s="106" t="s">
        <v>132</v>
      </c>
      <c r="C48" s="107">
        <f>C38+C39+C40+C47</f>
        <v>253988.12</v>
      </c>
      <c r="D48" s="107">
        <f>D38+D39+D40+D47</f>
        <v>63207.360000000001</v>
      </c>
      <c r="E48" s="107">
        <f>E38+E39+E40+E47</f>
        <v>64110.05</v>
      </c>
      <c r="F48" s="107">
        <f>F38+F39+F40+F47</f>
        <v>589647.77999999991</v>
      </c>
      <c r="G48" s="1"/>
      <c r="H48" s="1"/>
      <c r="I48" s="1"/>
      <c r="J48" s="1"/>
      <c r="K48" s="1"/>
      <c r="L48" s="1"/>
    </row>
    <row r="49" spans="2:7" ht="9" customHeight="1" thickBot="1" x14ac:dyDescent="0.25"/>
    <row r="50" spans="2:7" ht="79.5" thickBot="1" x14ac:dyDescent="0.25">
      <c r="B50" s="44" t="s">
        <v>58</v>
      </c>
      <c r="C50" s="45" t="s">
        <v>133</v>
      </c>
      <c r="D50" s="45" t="s">
        <v>134</v>
      </c>
      <c r="E50" s="45" t="s">
        <v>135</v>
      </c>
      <c r="F50" s="108" t="s">
        <v>136</v>
      </c>
      <c r="G50" s="109" t="s">
        <v>137</v>
      </c>
    </row>
    <row r="51" spans="2:7" ht="15" thickTop="1" x14ac:dyDescent="0.2">
      <c r="B51" s="48" t="s">
        <v>65</v>
      </c>
      <c r="C51" s="49">
        <v>621055.32999999996</v>
      </c>
      <c r="D51" s="49">
        <v>485875.07</v>
      </c>
      <c r="E51" s="49">
        <v>8208</v>
      </c>
      <c r="F51" s="110">
        <v>93673</v>
      </c>
      <c r="G51" s="111">
        <f>C38+D38+E38+F38+C51+D51+E51+F51</f>
        <v>1697839.23</v>
      </c>
    </row>
    <row r="52" spans="2:7" x14ac:dyDescent="0.2">
      <c r="B52" s="52" t="s">
        <v>66</v>
      </c>
      <c r="C52" s="53">
        <v>222288</v>
      </c>
      <c r="D52" s="53">
        <v>168008.83</v>
      </c>
      <c r="E52" s="53">
        <v>2873</v>
      </c>
      <c r="F52" s="112">
        <v>34186</v>
      </c>
      <c r="G52" s="113">
        <f t="shared" ref="G52:G60" si="0">C39+D39+E39+F39+C52+D52+E52+F52</f>
        <v>603048.06999999995</v>
      </c>
    </row>
    <row r="53" spans="2:7" x14ac:dyDescent="0.2">
      <c r="B53" s="52" t="s">
        <v>67</v>
      </c>
      <c r="C53" s="53">
        <f>SUM(C54:C59)</f>
        <v>455754.03</v>
      </c>
      <c r="D53" s="53">
        <f>SUM(D54:D59)</f>
        <v>49611</v>
      </c>
      <c r="E53" s="53">
        <f>SUM(E54:E59)</f>
        <v>3169.26</v>
      </c>
      <c r="F53" s="112">
        <f>SUM(F54:F59)</f>
        <v>31170.86</v>
      </c>
      <c r="G53" s="113">
        <f t="shared" si="0"/>
        <v>836703.71000000008</v>
      </c>
    </row>
    <row r="54" spans="2:7" x14ac:dyDescent="0.2">
      <c r="B54" s="55" t="s">
        <v>131</v>
      </c>
      <c r="C54" s="56">
        <v>30.96</v>
      </c>
      <c r="D54" s="56">
        <v>0</v>
      </c>
      <c r="E54" s="56">
        <v>0</v>
      </c>
      <c r="F54" s="114">
        <v>39.22</v>
      </c>
      <c r="G54" s="115">
        <f t="shared" si="0"/>
        <v>169.96</v>
      </c>
    </row>
    <row r="55" spans="2:7" x14ac:dyDescent="0.2">
      <c r="B55" s="55" t="s">
        <v>68</v>
      </c>
      <c r="C55" s="56">
        <v>84927.72</v>
      </c>
      <c r="D55" s="56">
        <v>599.97</v>
      </c>
      <c r="E55" s="56">
        <v>5.55</v>
      </c>
      <c r="F55" s="114">
        <v>1918.73</v>
      </c>
      <c r="G55" s="115">
        <f t="shared" si="0"/>
        <v>162873.73000000001</v>
      </c>
    </row>
    <row r="56" spans="2:7" x14ac:dyDescent="0.2">
      <c r="B56" s="55" t="s">
        <v>69</v>
      </c>
      <c r="C56" s="56">
        <v>35339.629999999997</v>
      </c>
      <c r="D56" s="56">
        <v>1655.42</v>
      </c>
      <c r="E56" s="56">
        <v>7.2</v>
      </c>
      <c r="F56" s="114">
        <v>4098.78</v>
      </c>
      <c r="G56" s="115">
        <f t="shared" si="0"/>
        <v>87201.329999999987</v>
      </c>
    </row>
    <row r="57" spans="2:7" x14ac:dyDescent="0.2">
      <c r="B57" s="55" t="s">
        <v>70</v>
      </c>
      <c r="C57" s="56">
        <v>1335.49</v>
      </c>
      <c r="D57" s="56">
        <v>6000.54</v>
      </c>
      <c r="E57" s="56">
        <v>2398.0700000000002</v>
      </c>
      <c r="F57" s="114">
        <v>1427.11</v>
      </c>
      <c r="G57" s="115">
        <f t="shared" si="0"/>
        <v>12620.09</v>
      </c>
    </row>
    <row r="58" spans="2:7" ht="15.75" customHeight="1" x14ac:dyDescent="0.2">
      <c r="B58" s="55" t="s">
        <v>71</v>
      </c>
      <c r="C58" s="56">
        <v>91726.11</v>
      </c>
      <c r="D58" s="56">
        <v>0</v>
      </c>
      <c r="E58" s="56">
        <v>0</v>
      </c>
      <c r="F58" s="114">
        <v>0</v>
      </c>
      <c r="G58" s="115">
        <f t="shared" si="0"/>
        <v>143623.72</v>
      </c>
    </row>
    <row r="59" spans="2:7" x14ac:dyDescent="0.2">
      <c r="B59" s="55" t="s">
        <v>73</v>
      </c>
      <c r="C59" s="56">
        <v>242394.12</v>
      </c>
      <c r="D59" s="56">
        <v>41355.07</v>
      </c>
      <c r="E59" s="56">
        <v>758.44</v>
      </c>
      <c r="F59" s="114">
        <v>23687.02</v>
      </c>
      <c r="G59" s="115">
        <f t="shared" si="0"/>
        <v>430214.88</v>
      </c>
    </row>
    <row r="60" spans="2:7" ht="15" thickBot="1" x14ac:dyDescent="0.25">
      <c r="B60" s="104" t="s">
        <v>74</v>
      </c>
      <c r="C60" s="105">
        <v>9118.4599999999991</v>
      </c>
      <c r="D60" s="105">
        <v>1834.83</v>
      </c>
      <c r="E60" s="105">
        <v>0</v>
      </c>
      <c r="F60" s="116">
        <v>2045.2</v>
      </c>
      <c r="G60" s="117">
        <f t="shared" si="0"/>
        <v>22233.170000000002</v>
      </c>
    </row>
    <row r="61" spans="2:7" ht="16.5" thickTop="1" thickBot="1" x14ac:dyDescent="0.25">
      <c r="B61" s="106" t="s">
        <v>132</v>
      </c>
      <c r="C61" s="107">
        <f>C51+C52+C53+C60</f>
        <v>1308215.8199999998</v>
      </c>
      <c r="D61" s="107">
        <f>D51+D52+D53+D60</f>
        <v>705329.73</v>
      </c>
      <c r="E61" s="107">
        <f>E51+E52+E53+E60</f>
        <v>14250.26</v>
      </c>
      <c r="F61" s="118">
        <f>F51+F52+F53+F60</f>
        <v>161075.06</v>
      </c>
      <c r="G61" s="119">
        <f>C48+D48+E48+F48+C61+D61+E61+F61</f>
        <v>3159824.1799999997</v>
      </c>
    </row>
    <row r="62" spans="2:7" ht="16.5" thickTop="1" thickBot="1" x14ac:dyDescent="0.25">
      <c r="B62" s="106" t="s">
        <v>138</v>
      </c>
      <c r="C62" s="107">
        <v>5566</v>
      </c>
      <c r="D62" s="107"/>
      <c r="E62" s="107"/>
      <c r="F62" s="118"/>
      <c r="G62" s="119">
        <f>C62</f>
        <v>5566</v>
      </c>
    </row>
    <row r="63" spans="2:7" ht="25.5" thickTop="1" thickBot="1" x14ac:dyDescent="0.25">
      <c r="B63" s="90" t="s">
        <v>93</v>
      </c>
      <c r="C63" s="120"/>
      <c r="D63" s="120"/>
      <c r="E63" s="120"/>
      <c r="F63" s="120"/>
      <c r="G63" s="107">
        <v>2000</v>
      </c>
    </row>
  </sheetData>
  <mergeCells count="32">
    <mergeCell ref="B15:D15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4:D34"/>
    <mergeCell ref="B35:D35"/>
    <mergeCell ref="B28:D28"/>
    <mergeCell ref="B29:D29"/>
    <mergeCell ref="B30:D30"/>
    <mergeCell ref="B31:D31"/>
    <mergeCell ref="B32:D32"/>
    <mergeCell ref="B33:D33"/>
  </mergeCells>
  <pageMargins left="0.86614173228346525" right="0.59055118110236182" top="0.11811023622047202" bottom="0.15748031496063003" header="0.11811023622047202" footer="0.15748031496063003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workbookViewId="0"/>
  </sheetViews>
  <sheetFormatPr defaultRowHeight="12.75" x14ac:dyDescent="0.2"/>
  <cols>
    <col min="1" max="1" width="5.140625" style="27" customWidth="1"/>
    <col min="2" max="2" width="23.7109375" style="27" customWidth="1"/>
    <col min="3" max="3" width="12.140625" style="27" customWidth="1"/>
    <col min="4" max="4" width="10.85546875" style="27" customWidth="1"/>
    <col min="5" max="5" width="11.28515625" style="27" customWidth="1"/>
    <col min="6" max="6" width="10.7109375" style="27" customWidth="1"/>
    <col min="7" max="7" width="11.7109375" style="27" customWidth="1"/>
    <col min="8" max="8" width="10.7109375" style="27" customWidth="1"/>
    <col min="9" max="9" width="10.140625" style="27" bestFit="1" customWidth="1"/>
    <col min="10" max="10" width="9.140625" style="27" customWidth="1"/>
    <col min="11" max="16384" width="9.140625" style="27"/>
  </cols>
  <sheetData>
    <row r="1" spans="2:9" ht="27.75" customHeight="1" x14ac:dyDescent="0.2">
      <c r="I1" s="121" t="s">
        <v>139</v>
      </c>
    </row>
    <row r="2" spans="2:9" ht="18.75" customHeight="1" x14ac:dyDescent="0.25">
      <c r="B2" s="660" t="s">
        <v>140</v>
      </c>
      <c r="C2" s="660"/>
      <c r="D2" s="660"/>
      <c r="E2" s="660"/>
      <c r="F2" s="660"/>
      <c r="G2" s="660"/>
      <c r="H2" s="660"/>
      <c r="I2" s="660"/>
    </row>
    <row r="3" spans="2:9" ht="22.5" customHeight="1" thickBot="1" x14ac:dyDescent="0.25"/>
    <row r="4" spans="2:9" ht="21" customHeight="1" thickBot="1" x14ac:dyDescent="0.25">
      <c r="B4" s="661" t="s">
        <v>141</v>
      </c>
      <c r="C4" s="661"/>
      <c r="D4" s="661"/>
      <c r="E4" s="661"/>
    </row>
    <row r="5" spans="2:9" ht="24.75" customHeight="1" thickTop="1" x14ac:dyDescent="0.2">
      <c r="B5" s="647" t="s">
        <v>142</v>
      </c>
      <c r="C5" s="647"/>
      <c r="D5" s="647"/>
      <c r="E5" s="122">
        <v>2720.16</v>
      </c>
    </row>
    <row r="6" spans="2:9" ht="14.25" customHeight="1" x14ac:dyDescent="0.2">
      <c r="B6" s="648" t="s">
        <v>143</v>
      </c>
      <c r="C6" s="648"/>
      <c r="D6" s="648"/>
      <c r="E6" s="123">
        <v>1215.5</v>
      </c>
    </row>
    <row r="7" spans="2:9" x14ac:dyDescent="0.2">
      <c r="B7" s="662" t="s">
        <v>144</v>
      </c>
      <c r="C7" s="662"/>
      <c r="D7" s="662"/>
      <c r="E7" s="123">
        <v>124725.52</v>
      </c>
    </row>
    <row r="8" spans="2:9" x14ac:dyDescent="0.2">
      <c r="B8" s="662" t="s">
        <v>145</v>
      </c>
      <c r="C8" s="662"/>
      <c r="D8" s="662"/>
      <c r="E8" s="123">
        <v>272893.09000000003</v>
      </c>
    </row>
    <row r="9" spans="2:9" s="124" customFormat="1" x14ac:dyDescent="0.25">
      <c r="B9" s="658" t="s">
        <v>52</v>
      </c>
      <c r="C9" s="658"/>
      <c r="D9" s="658"/>
      <c r="E9" s="125">
        <v>0</v>
      </c>
    </row>
    <row r="10" spans="2:9" s="124" customFormat="1" x14ac:dyDescent="0.2">
      <c r="B10" s="645" t="s">
        <v>54</v>
      </c>
      <c r="C10" s="645"/>
      <c r="D10" s="645"/>
      <c r="E10" s="126">
        <v>1280.67</v>
      </c>
    </row>
    <row r="11" spans="2:9" x14ac:dyDescent="0.2">
      <c r="B11" s="645" t="s">
        <v>146</v>
      </c>
      <c r="C11" s="645"/>
      <c r="D11" s="645"/>
      <c r="E11" s="126">
        <v>9637.7800000000007</v>
      </c>
    </row>
    <row r="12" spans="2:9" ht="13.5" thickBot="1" x14ac:dyDescent="0.25">
      <c r="B12" s="127" t="s">
        <v>147</v>
      </c>
      <c r="C12" s="128"/>
      <c r="D12" s="129"/>
      <c r="E12" s="130">
        <v>59053.25</v>
      </c>
    </row>
    <row r="13" spans="2:9" s="131" customFormat="1" ht="21.75" customHeight="1" thickTop="1" thickBot="1" x14ac:dyDescent="0.3">
      <c r="B13" s="659" t="s">
        <v>137</v>
      </c>
      <c r="C13" s="659"/>
      <c r="D13" s="659"/>
      <c r="E13" s="132">
        <f>SUM(E5:E12)</f>
        <v>471525.97000000003</v>
      </c>
    </row>
    <row r="14" spans="2:9" ht="5.25" customHeight="1" x14ac:dyDescent="0.2"/>
    <row r="15" spans="2:9" ht="13.5" customHeight="1" x14ac:dyDescent="0.2"/>
    <row r="16" spans="2:9" ht="13.5" thickBot="1" x14ac:dyDescent="0.25"/>
    <row r="17" spans="2:12" s="133" customFormat="1" ht="68.25" thickBot="1" x14ac:dyDescent="0.3">
      <c r="B17" s="134" t="s">
        <v>58</v>
      </c>
      <c r="C17" s="45" t="s">
        <v>148</v>
      </c>
      <c r="D17" s="45" t="s">
        <v>149</v>
      </c>
      <c r="E17" s="45" t="s">
        <v>150</v>
      </c>
      <c r="F17" s="45" t="s">
        <v>151</v>
      </c>
      <c r="G17" s="45" t="s">
        <v>152</v>
      </c>
      <c r="H17" s="45" t="s">
        <v>153</v>
      </c>
      <c r="I17" s="135" t="s">
        <v>137</v>
      </c>
    </row>
    <row r="18" spans="2:12" s="131" customFormat="1" ht="13.5" thickTop="1" x14ac:dyDescent="0.25">
      <c r="B18" s="48" t="s">
        <v>65</v>
      </c>
      <c r="C18" s="136">
        <v>1830810.18</v>
      </c>
      <c r="D18" s="136">
        <v>74269.75</v>
      </c>
      <c r="E18" s="136">
        <v>9555.24</v>
      </c>
      <c r="F18" s="136">
        <v>311950.24</v>
      </c>
      <c r="G18" s="136">
        <v>99709.21</v>
      </c>
      <c r="H18" s="136"/>
      <c r="I18" s="137">
        <f t="shared" ref="I18:I28" si="0">C18+D18+E18+F18+G18+H18</f>
        <v>2326294.62</v>
      </c>
    </row>
    <row r="19" spans="2:12" s="131" customFormat="1" x14ac:dyDescent="0.25">
      <c r="B19" s="52" t="s">
        <v>66</v>
      </c>
      <c r="C19" s="138">
        <v>685339.8</v>
      </c>
      <c r="D19" s="138">
        <v>26135.29</v>
      </c>
      <c r="E19" s="138">
        <v>3358.86</v>
      </c>
      <c r="F19" s="138">
        <v>114930.96</v>
      </c>
      <c r="G19" s="138">
        <v>41719.42</v>
      </c>
      <c r="H19" s="138"/>
      <c r="I19" s="139">
        <f t="shared" si="0"/>
        <v>871484.33000000007</v>
      </c>
    </row>
    <row r="20" spans="2:12" s="131" customFormat="1" x14ac:dyDescent="0.25">
      <c r="B20" s="52" t="s">
        <v>67</v>
      </c>
      <c r="C20" s="138">
        <f t="shared" ref="C20:H20" si="1">C21+C22+C23+C24+C25+C26+C27</f>
        <v>676695.99</v>
      </c>
      <c r="D20" s="138">
        <f t="shared" si="1"/>
        <v>16998.71</v>
      </c>
      <c r="E20" s="138">
        <f t="shared" si="1"/>
        <v>1180.26</v>
      </c>
      <c r="F20" s="138">
        <f t="shared" si="1"/>
        <v>353880.76999999996</v>
      </c>
      <c r="G20" s="138">
        <f t="shared" si="1"/>
        <v>48559.399999999994</v>
      </c>
      <c r="H20" s="138">
        <f t="shared" si="1"/>
        <v>0</v>
      </c>
      <c r="I20" s="139">
        <f t="shared" si="0"/>
        <v>1097315.1299999999</v>
      </c>
    </row>
    <row r="21" spans="2:12" s="131" customFormat="1" x14ac:dyDescent="0.25">
      <c r="B21" s="55" t="s">
        <v>89</v>
      </c>
      <c r="C21" s="140">
        <v>0</v>
      </c>
      <c r="D21" s="140">
        <v>0</v>
      </c>
      <c r="E21" s="140">
        <v>0</v>
      </c>
      <c r="F21" s="140">
        <v>0</v>
      </c>
      <c r="G21" s="140">
        <v>50</v>
      </c>
      <c r="H21" s="140"/>
      <c r="I21" s="141">
        <f t="shared" si="0"/>
        <v>50</v>
      </c>
    </row>
    <row r="22" spans="2:12" s="131" customFormat="1" x14ac:dyDescent="0.25">
      <c r="B22" s="55" t="s">
        <v>68</v>
      </c>
      <c r="C22" s="140">
        <v>316458.69</v>
      </c>
      <c r="D22" s="140">
        <v>4536.4399999999996</v>
      </c>
      <c r="E22" s="140">
        <v>600</v>
      </c>
      <c r="F22" s="140">
        <v>600.11</v>
      </c>
      <c r="G22" s="140">
        <v>620.11</v>
      </c>
      <c r="H22" s="140"/>
      <c r="I22" s="141">
        <f t="shared" si="0"/>
        <v>322815.34999999998</v>
      </c>
    </row>
    <row r="23" spans="2:12" s="131" customFormat="1" x14ac:dyDescent="0.25">
      <c r="B23" s="55" t="s">
        <v>69</v>
      </c>
      <c r="C23" s="140">
        <v>195326.75</v>
      </c>
      <c r="D23" s="140">
        <v>8967.33</v>
      </c>
      <c r="E23" s="140">
        <v>450</v>
      </c>
      <c r="F23" s="140">
        <v>332427.15999999997</v>
      </c>
      <c r="G23" s="140">
        <v>2899.53</v>
      </c>
      <c r="H23" s="140"/>
      <c r="I23" s="141">
        <f t="shared" si="0"/>
        <v>540070.77</v>
      </c>
    </row>
    <row r="24" spans="2:12" s="131" customFormat="1" x14ac:dyDescent="0.25">
      <c r="B24" s="55" t="s">
        <v>70</v>
      </c>
      <c r="C24" s="140">
        <v>0</v>
      </c>
      <c r="D24" s="140">
        <v>285</v>
      </c>
      <c r="E24" s="140">
        <v>0</v>
      </c>
      <c r="F24" s="140">
        <v>0</v>
      </c>
      <c r="G24" s="140">
        <v>2749.66</v>
      </c>
      <c r="H24" s="140"/>
      <c r="I24" s="141">
        <f t="shared" si="0"/>
        <v>3034.66</v>
      </c>
    </row>
    <row r="25" spans="2:12" s="131" customFormat="1" x14ac:dyDescent="0.25">
      <c r="B25" s="55" t="s">
        <v>71</v>
      </c>
      <c r="C25" s="140">
        <v>92426.38</v>
      </c>
      <c r="D25" s="140">
        <v>780</v>
      </c>
      <c r="E25" s="140">
        <v>0</v>
      </c>
      <c r="F25" s="140">
        <v>8893.51</v>
      </c>
      <c r="G25" s="140">
        <v>9936.0499999999993</v>
      </c>
      <c r="H25" s="140"/>
      <c r="I25" s="141">
        <f t="shared" si="0"/>
        <v>112035.94</v>
      </c>
    </row>
    <row r="26" spans="2:12" s="131" customFormat="1" x14ac:dyDescent="0.25">
      <c r="B26" s="55" t="s">
        <v>72</v>
      </c>
      <c r="C26" s="140">
        <v>12499.85</v>
      </c>
      <c r="D26" s="140">
        <v>0</v>
      </c>
      <c r="E26" s="140">
        <v>0</v>
      </c>
      <c r="F26" s="140">
        <v>0</v>
      </c>
      <c r="G26" s="140">
        <v>2779.6</v>
      </c>
      <c r="H26" s="140"/>
      <c r="I26" s="141">
        <f t="shared" si="0"/>
        <v>15279.45</v>
      </c>
    </row>
    <row r="27" spans="2:12" s="131" customFormat="1" x14ac:dyDescent="0.25">
      <c r="B27" s="55" t="s">
        <v>73</v>
      </c>
      <c r="C27" s="140">
        <v>59984.32</v>
      </c>
      <c r="D27" s="140">
        <v>2429.94</v>
      </c>
      <c r="E27" s="140">
        <v>130.26</v>
      </c>
      <c r="F27" s="140">
        <v>11959.99</v>
      </c>
      <c r="G27" s="140">
        <v>29524.45</v>
      </c>
      <c r="H27" s="140"/>
      <c r="I27" s="141">
        <f t="shared" si="0"/>
        <v>104028.96</v>
      </c>
    </row>
    <row r="28" spans="2:12" ht="13.5" thickBot="1" x14ac:dyDescent="0.25">
      <c r="B28" s="104" t="s">
        <v>74</v>
      </c>
      <c r="C28" s="105">
        <f>28829.57-712.6</f>
        <v>28116.97</v>
      </c>
      <c r="D28" s="105">
        <v>215.64</v>
      </c>
      <c r="E28" s="105">
        <v>0</v>
      </c>
      <c r="F28" s="105">
        <v>2491.31</v>
      </c>
      <c r="G28" s="105">
        <v>204.45</v>
      </c>
      <c r="H28" s="105">
        <v>712.6</v>
      </c>
      <c r="I28" s="142">
        <f t="shared" si="0"/>
        <v>31740.97</v>
      </c>
    </row>
    <row r="29" spans="2:12" ht="22.5" customHeight="1" thickTop="1" thickBot="1" x14ac:dyDescent="0.25">
      <c r="B29" s="143" t="s">
        <v>75</v>
      </c>
      <c r="C29" s="144">
        <f t="shared" ref="C29:H29" si="2">C18+C19+C20+C28</f>
        <v>3220962.94</v>
      </c>
      <c r="D29" s="144">
        <f t="shared" si="2"/>
        <v>117619.39</v>
      </c>
      <c r="E29" s="144">
        <f t="shared" si="2"/>
        <v>14094.36</v>
      </c>
      <c r="F29" s="144">
        <f t="shared" si="2"/>
        <v>783253.28</v>
      </c>
      <c r="G29" s="144">
        <f t="shared" si="2"/>
        <v>190192.48</v>
      </c>
      <c r="H29" s="144">
        <f t="shared" si="2"/>
        <v>712.6</v>
      </c>
      <c r="I29" s="145">
        <f>H29+G29+F29+E29+D29+C29</f>
        <v>4326835.05</v>
      </c>
    </row>
    <row r="30" spans="2:12" s="131" customFormat="1" ht="24.75" thickTop="1" x14ac:dyDescent="0.25">
      <c r="B30" s="48" t="s">
        <v>154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7">
        <f>C30+D30+E30+F30+G30+H30</f>
        <v>0</v>
      </c>
    </row>
    <row r="31" spans="2:12" ht="13.5" thickBot="1" x14ac:dyDescent="0.25">
      <c r="B31" s="146" t="s">
        <v>155</v>
      </c>
      <c r="C31" s="147">
        <v>75696</v>
      </c>
      <c r="D31" s="147">
        <v>0</v>
      </c>
      <c r="E31" s="147">
        <v>0</v>
      </c>
      <c r="F31" s="147">
        <v>25313.45</v>
      </c>
      <c r="G31" s="147">
        <v>0</v>
      </c>
      <c r="H31" s="147">
        <v>0</v>
      </c>
      <c r="I31" s="148">
        <f>C31+D31+E31+F31+G31+H31</f>
        <v>101009.45</v>
      </c>
    </row>
    <row r="32" spans="2:12" ht="27" thickTop="1" thickBot="1" x14ac:dyDescent="0.25">
      <c r="B32" s="149" t="s">
        <v>76</v>
      </c>
      <c r="C32" s="150">
        <f t="shared" ref="C32:H32" si="3">C30+C31</f>
        <v>75696</v>
      </c>
      <c r="D32" s="150">
        <f t="shared" si="3"/>
        <v>0</v>
      </c>
      <c r="E32" s="150">
        <f t="shared" si="3"/>
        <v>0</v>
      </c>
      <c r="F32" s="150">
        <f t="shared" si="3"/>
        <v>25313.45</v>
      </c>
      <c r="G32" s="150">
        <f t="shared" si="3"/>
        <v>0</v>
      </c>
      <c r="H32" s="150">
        <f t="shared" si="3"/>
        <v>0</v>
      </c>
      <c r="I32" s="151">
        <f>H32+G32+F32+E32+D32+C32</f>
        <v>101009.45</v>
      </c>
      <c r="L32" s="152"/>
    </row>
    <row r="36" spans="9:9" x14ac:dyDescent="0.2">
      <c r="I36" s="152"/>
    </row>
    <row r="37" spans="9:9" x14ac:dyDescent="0.2">
      <c r="I37" s="152"/>
    </row>
  </sheetData>
  <mergeCells count="10">
    <mergeCell ref="B9:D9"/>
    <mergeCell ref="B10:D10"/>
    <mergeCell ref="B11:D11"/>
    <mergeCell ref="B13:D13"/>
    <mergeCell ref="B2:I2"/>
    <mergeCell ref="B4:E4"/>
    <mergeCell ref="B5:D5"/>
    <mergeCell ref="B6:D6"/>
    <mergeCell ref="B7:D7"/>
    <mergeCell ref="B8:D8"/>
  </mergeCells>
  <pageMargins left="0.59055118110236182" right="0.27559055118110198" top="0.98425196850393704" bottom="0.98425196850393704" header="0.511811023622047" footer="0.511811023622047"/>
  <pageSetup paperSize="9" scale="9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5"/>
  <sheetViews>
    <sheetView workbookViewId="0"/>
  </sheetViews>
  <sheetFormatPr defaultRowHeight="12.75" x14ac:dyDescent="0.2"/>
  <cols>
    <col min="1" max="1" width="9.42578125" style="153" customWidth="1"/>
    <col min="2" max="2" width="16.42578125" style="153" customWidth="1"/>
    <col min="3" max="3" width="10.140625" style="153" customWidth="1"/>
    <col min="4" max="4" width="8.42578125" style="153" customWidth="1"/>
    <col min="5" max="5" width="9.28515625" style="153" customWidth="1"/>
    <col min="6" max="7" width="8.42578125" style="153" customWidth="1"/>
    <col min="8" max="8" width="9.85546875" style="153" customWidth="1"/>
    <col min="9" max="9" width="8" style="153" customWidth="1"/>
    <col min="10" max="10" width="10" style="153" customWidth="1"/>
    <col min="11" max="256" width="9.42578125" style="153" customWidth="1"/>
    <col min="257" max="257" width="16.42578125" style="153" customWidth="1"/>
    <col min="258" max="258" width="10.140625" style="153" customWidth="1"/>
    <col min="259" max="259" width="8.42578125" style="153" customWidth="1"/>
    <col min="260" max="260" width="10" style="153" customWidth="1"/>
    <col min="261" max="261" width="8.42578125" style="153" customWidth="1"/>
    <col min="262" max="262" width="11" style="153" customWidth="1"/>
    <col min="263" max="263" width="9" style="153" customWidth="1"/>
    <col min="264" max="264" width="11.42578125" style="153" customWidth="1"/>
    <col min="265" max="265" width="12" style="153" customWidth="1"/>
    <col min="266" max="512" width="9.42578125" style="153" customWidth="1"/>
    <col min="513" max="513" width="16.42578125" style="153" customWidth="1"/>
    <col min="514" max="514" width="10.140625" style="153" customWidth="1"/>
    <col min="515" max="515" width="8.42578125" style="153" customWidth="1"/>
    <col min="516" max="516" width="10" style="153" customWidth="1"/>
    <col min="517" max="517" width="8.42578125" style="153" customWidth="1"/>
    <col min="518" max="518" width="11" style="153" customWidth="1"/>
    <col min="519" max="519" width="9" style="153" customWidth="1"/>
    <col min="520" max="520" width="11.42578125" style="153" customWidth="1"/>
    <col min="521" max="521" width="12" style="153" customWidth="1"/>
    <col min="522" max="768" width="9.42578125" style="153" customWidth="1"/>
    <col min="769" max="769" width="16.42578125" style="153" customWidth="1"/>
    <col min="770" max="770" width="10.140625" style="153" customWidth="1"/>
    <col min="771" max="771" width="8.42578125" style="153" customWidth="1"/>
    <col min="772" max="772" width="10" style="153" customWidth="1"/>
    <col min="773" max="773" width="8.42578125" style="153" customWidth="1"/>
    <col min="774" max="774" width="11" style="153" customWidth="1"/>
    <col min="775" max="775" width="9" style="153" customWidth="1"/>
    <col min="776" max="776" width="11.42578125" style="153" customWidth="1"/>
    <col min="777" max="777" width="12" style="153" customWidth="1"/>
    <col min="778" max="1024" width="9.42578125" style="153" customWidth="1"/>
    <col min="1025" max="1025" width="16.42578125" style="153" customWidth="1"/>
    <col min="1026" max="1026" width="10.140625" style="153" customWidth="1"/>
    <col min="1027" max="1027" width="8.42578125" style="153" customWidth="1"/>
    <col min="1028" max="1028" width="10" style="153" customWidth="1"/>
    <col min="1029" max="1029" width="8.42578125" style="153" customWidth="1"/>
    <col min="1030" max="1030" width="11" style="153" customWidth="1"/>
    <col min="1031" max="1031" width="9" style="153" customWidth="1"/>
    <col min="1032" max="1032" width="11.42578125" style="153" customWidth="1"/>
    <col min="1033" max="1033" width="12" style="153" customWidth="1"/>
    <col min="1034" max="1280" width="9.42578125" style="153" customWidth="1"/>
    <col min="1281" max="1281" width="16.42578125" style="153" customWidth="1"/>
    <col min="1282" max="1282" width="10.140625" style="153" customWidth="1"/>
    <col min="1283" max="1283" width="8.42578125" style="153" customWidth="1"/>
    <col min="1284" max="1284" width="10" style="153" customWidth="1"/>
    <col min="1285" max="1285" width="8.42578125" style="153" customWidth="1"/>
    <col min="1286" max="1286" width="11" style="153" customWidth="1"/>
    <col min="1287" max="1287" width="9" style="153" customWidth="1"/>
    <col min="1288" max="1288" width="11.42578125" style="153" customWidth="1"/>
    <col min="1289" max="1289" width="12" style="153" customWidth="1"/>
    <col min="1290" max="1536" width="9.42578125" style="153" customWidth="1"/>
    <col min="1537" max="1537" width="16.42578125" style="153" customWidth="1"/>
    <col min="1538" max="1538" width="10.140625" style="153" customWidth="1"/>
    <col min="1539" max="1539" width="8.42578125" style="153" customWidth="1"/>
    <col min="1540" max="1540" width="10" style="153" customWidth="1"/>
    <col min="1541" max="1541" width="8.42578125" style="153" customWidth="1"/>
    <col min="1542" max="1542" width="11" style="153" customWidth="1"/>
    <col min="1543" max="1543" width="9" style="153" customWidth="1"/>
    <col min="1544" max="1544" width="11.42578125" style="153" customWidth="1"/>
    <col min="1545" max="1545" width="12" style="153" customWidth="1"/>
    <col min="1546" max="1792" width="9.42578125" style="153" customWidth="1"/>
    <col min="1793" max="1793" width="16.42578125" style="153" customWidth="1"/>
    <col min="1794" max="1794" width="10.140625" style="153" customWidth="1"/>
    <col min="1795" max="1795" width="8.42578125" style="153" customWidth="1"/>
    <col min="1796" max="1796" width="10" style="153" customWidth="1"/>
    <col min="1797" max="1797" width="8.42578125" style="153" customWidth="1"/>
    <col min="1798" max="1798" width="11" style="153" customWidth="1"/>
    <col min="1799" max="1799" width="9" style="153" customWidth="1"/>
    <col min="1800" max="1800" width="11.42578125" style="153" customWidth="1"/>
    <col min="1801" max="1801" width="12" style="153" customWidth="1"/>
    <col min="1802" max="2048" width="9.42578125" style="153" customWidth="1"/>
    <col min="2049" max="2049" width="16.42578125" style="153" customWidth="1"/>
    <col min="2050" max="2050" width="10.140625" style="153" customWidth="1"/>
    <col min="2051" max="2051" width="8.42578125" style="153" customWidth="1"/>
    <col min="2052" max="2052" width="10" style="153" customWidth="1"/>
    <col min="2053" max="2053" width="8.42578125" style="153" customWidth="1"/>
    <col min="2054" max="2054" width="11" style="153" customWidth="1"/>
    <col min="2055" max="2055" width="9" style="153" customWidth="1"/>
    <col min="2056" max="2056" width="11.42578125" style="153" customWidth="1"/>
    <col min="2057" max="2057" width="12" style="153" customWidth="1"/>
    <col min="2058" max="2304" width="9.42578125" style="153" customWidth="1"/>
    <col min="2305" max="2305" width="16.42578125" style="153" customWidth="1"/>
    <col min="2306" max="2306" width="10.140625" style="153" customWidth="1"/>
    <col min="2307" max="2307" width="8.42578125" style="153" customWidth="1"/>
    <col min="2308" max="2308" width="10" style="153" customWidth="1"/>
    <col min="2309" max="2309" width="8.42578125" style="153" customWidth="1"/>
    <col min="2310" max="2310" width="11" style="153" customWidth="1"/>
    <col min="2311" max="2311" width="9" style="153" customWidth="1"/>
    <col min="2312" max="2312" width="11.42578125" style="153" customWidth="1"/>
    <col min="2313" max="2313" width="12" style="153" customWidth="1"/>
    <col min="2314" max="2560" width="9.42578125" style="153" customWidth="1"/>
    <col min="2561" max="2561" width="16.42578125" style="153" customWidth="1"/>
    <col min="2562" max="2562" width="10.140625" style="153" customWidth="1"/>
    <col min="2563" max="2563" width="8.42578125" style="153" customWidth="1"/>
    <col min="2564" max="2564" width="10" style="153" customWidth="1"/>
    <col min="2565" max="2565" width="8.42578125" style="153" customWidth="1"/>
    <col min="2566" max="2566" width="11" style="153" customWidth="1"/>
    <col min="2567" max="2567" width="9" style="153" customWidth="1"/>
    <col min="2568" max="2568" width="11.42578125" style="153" customWidth="1"/>
    <col min="2569" max="2569" width="12" style="153" customWidth="1"/>
    <col min="2570" max="2816" width="9.42578125" style="153" customWidth="1"/>
    <col min="2817" max="2817" width="16.42578125" style="153" customWidth="1"/>
    <col min="2818" max="2818" width="10.140625" style="153" customWidth="1"/>
    <col min="2819" max="2819" width="8.42578125" style="153" customWidth="1"/>
    <col min="2820" max="2820" width="10" style="153" customWidth="1"/>
    <col min="2821" max="2821" width="8.42578125" style="153" customWidth="1"/>
    <col min="2822" max="2822" width="11" style="153" customWidth="1"/>
    <col min="2823" max="2823" width="9" style="153" customWidth="1"/>
    <col min="2824" max="2824" width="11.42578125" style="153" customWidth="1"/>
    <col min="2825" max="2825" width="12" style="153" customWidth="1"/>
    <col min="2826" max="3072" width="9.42578125" style="153" customWidth="1"/>
    <col min="3073" max="3073" width="16.42578125" style="153" customWidth="1"/>
    <col min="3074" max="3074" width="10.140625" style="153" customWidth="1"/>
    <col min="3075" max="3075" width="8.42578125" style="153" customWidth="1"/>
    <col min="3076" max="3076" width="10" style="153" customWidth="1"/>
    <col min="3077" max="3077" width="8.42578125" style="153" customWidth="1"/>
    <col min="3078" max="3078" width="11" style="153" customWidth="1"/>
    <col min="3079" max="3079" width="9" style="153" customWidth="1"/>
    <col min="3080" max="3080" width="11.42578125" style="153" customWidth="1"/>
    <col min="3081" max="3081" width="12" style="153" customWidth="1"/>
    <col min="3082" max="3328" width="9.42578125" style="153" customWidth="1"/>
    <col min="3329" max="3329" width="16.42578125" style="153" customWidth="1"/>
    <col min="3330" max="3330" width="10.140625" style="153" customWidth="1"/>
    <col min="3331" max="3331" width="8.42578125" style="153" customWidth="1"/>
    <col min="3332" max="3332" width="10" style="153" customWidth="1"/>
    <col min="3333" max="3333" width="8.42578125" style="153" customWidth="1"/>
    <col min="3334" max="3334" width="11" style="153" customWidth="1"/>
    <col min="3335" max="3335" width="9" style="153" customWidth="1"/>
    <col min="3336" max="3336" width="11.42578125" style="153" customWidth="1"/>
    <col min="3337" max="3337" width="12" style="153" customWidth="1"/>
    <col min="3338" max="3584" width="9.42578125" style="153" customWidth="1"/>
    <col min="3585" max="3585" width="16.42578125" style="153" customWidth="1"/>
    <col min="3586" max="3586" width="10.140625" style="153" customWidth="1"/>
    <col min="3587" max="3587" width="8.42578125" style="153" customWidth="1"/>
    <col min="3588" max="3588" width="10" style="153" customWidth="1"/>
    <col min="3589" max="3589" width="8.42578125" style="153" customWidth="1"/>
    <col min="3590" max="3590" width="11" style="153" customWidth="1"/>
    <col min="3591" max="3591" width="9" style="153" customWidth="1"/>
    <col min="3592" max="3592" width="11.42578125" style="153" customWidth="1"/>
    <col min="3593" max="3593" width="12" style="153" customWidth="1"/>
    <col min="3594" max="3840" width="9.42578125" style="153" customWidth="1"/>
    <col min="3841" max="3841" width="16.42578125" style="153" customWidth="1"/>
    <col min="3842" max="3842" width="10.140625" style="153" customWidth="1"/>
    <col min="3843" max="3843" width="8.42578125" style="153" customWidth="1"/>
    <col min="3844" max="3844" width="10" style="153" customWidth="1"/>
    <col min="3845" max="3845" width="8.42578125" style="153" customWidth="1"/>
    <col min="3846" max="3846" width="11" style="153" customWidth="1"/>
    <col min="3847" max="3847" width="9" style="153" customWidth="1"/>
    <col min="3848" max="3848" width="11.42578125" style="153" customWidth="1"/>
    <col min="3849" max="3849" width="12" style="153" customWidth="1"/>
    <col min="3850" max="4096" width="9.42578125" style="153" customWidth="1"/>
    <col min="4097" max="4097" width="16.42578125" style="153" customWidth="1"/>
    <col min="4098" max="4098" width="10.140625" style="153" customWidth="1"/>
    <col min="4099" max="4099" width="8.42578125" style="153" customWidth="1"/>
    <col min="4100" max="4100" width="10" style="153" customWidth="1"/>
    <col min="4101" max="4101" width="8.42578125" style="153" customWidth="1"/>
    <col min="4102" max="4102" width="11" style="153" customWidth="1"/>
    <col min="4103" max="4103" width="9" style="153" customWidth="1"/>
    <col min="4104" max="4104" width="11.42578125" style="153" customWidth="1"/>
    <col min="4105" max="4105" width="12" style="153" customWidth="1"/>
    <col min="4106" max="4352" width="9.42578125" style="153" customWidth="1"/>
    <col min="4353" max="4353" width="16.42578125" style="153" customWidth="1"/>
    <col min="4354" max="4354" width="10.140625" style="153" customWidth="1"/>
    <col min="4355" max="4355" width="8.42578125" style="153" customWidth="1"/>
    <col min="4356" max="4356" width="10" style="153" customWidth="1"/>
    <col min="4357" max="4357" width="8.42578125" style="153" customWidth="1"/>
    <col min="4358" max="4358" width="11" style="153" customWidth="1"/>
    <col min="4359" max="4359" width="9" style="153" customWidth="1"/>
    <col min="4360" max="4360" width="11.42578125" style="153" customWidth="1"/>
    <col min="4361" max="4361" width="12" style="153" customWidth="1"/>
    <col min="4362" max="4608" width="9.42578125" style="153" customWidth="1"/>
    <col min="4609" max="4609" width="16.42578125" style="153" customWidth="1"/>
    <col min="4610" max="4610" width="10.140625" style="153" customWidth="1"/>
    <col min="4611" max="4611" width="8.42578125" style="153" customWidth="1"/>
    <col min="4612" max="4612" width="10" style="153" customWidth="1"/>
    <col min="4613" max="4613" width="8.42578125" style="153" customWidth="1"/>
    <col min="4614" max="4614" width="11" style="153" customWidth="1"/>
    <col min="4615" max="4615" width="9" style="153" customWidth="1"/>
    <col min="4616" max="4616" width="11.42578125" style="153" customWidth="1"/>
    <col min="4617" max="4617" width="12" style="153" customWidth="1"/>
    <col min="4618" max="4864" width="9.42578125" style="153" customWidth="1"/>
    <col min="4865" max="4865" width="16.42578125" style="153" customWidth="1"/>
    <col min="4866" max="4866" width="10.140625" style="153" customWidth="1"/>
    <col min="4867" max="4867" width="8.42578125" style="153" customWidth="1"/>
    <col min="4868" max="4868" width="10" style="153" customWidth="1"/>
    <col min="4869" max="4869" width="8.42578125" style="153" customWidth="1"/>
    <col min="4870" max="4870" width="11" style="153" customWidth="1"/>
    <col min="4871" max="4871" width="9" style="153" customWidth="1"/>
    <col min="4872" max="4872" width="11.42578125" style="153" customWidth="1"/>
    <col min="4873" max="4873" width="12" style="153" customWidth="1"/>
    <col min="4874" max="5120" width="9.42578125" style="153" customWidth="1"/>
    <col min="5121" max="5121" width="16.42578125" style="153" customWidth="1"/>
    <col min="5122" max="5122" width="10.140625" style="153" customWidth="1"/>
    <col min="5123" max="5123" width="8.42578125" style="153" customWidth="1"/>
    <col min="5124" max="5124" width="10" style="153" customWidth="1"/>
    <col min="5125" max="5125" width="8.42578125" style="153" customWidth="1"/>
    <col min="5126" max="5126" width="11" style="153" customWidth="1"/>
    <col min="5127" max="5127" width="9" style="153" customWidth="1"/>
    <col min="5128" max="5128" width="11.42578125" style="153" customWidth="1"/>
    <col min="5129" max="5129" width="12" style="153" customWidth="1"/>
    <col min="5130" max="5376" width="9.42578125" style="153" customWidth="1"/>
    <col min="5377" max="5377" width="16.42578125" style="153" customWidth="1"/>
    <col min="5378" max="5378" width="10.140625" style="153" customWidth="1"/>
    <col min="5379" max="5379" width="8.42578125" style="153" customWidth="1"/>
    <col min="5380" max="5380" width="10" style="153" customWidth="1"/>
    <col min="5381" max="5381" width="8.42578125" style="153" customWidth="1"/>
    <col min="5382" max="5382" width="11" style="153" customWidth="1"/>
    <col min="5383" max="5383" width="9" style="153" customWidth="1"/>
    <col min="5384" max="5384" width="11.42578125" style="153" customWidth="1"/>
    <col min="5385" max="5385" width="12" style="153" customWidth="1"/>
    <col min="5386" max="5632" width="9.42578125" style="153" customWidth="1"/>
    <col min="5633" max="5633" width="16.42578125" style="153" customWidth="1"/>
    <col min="5634" max="5634" width="10.140625" style="153" customWidth="1"/>
    <col min="5635" max="5635" width="8.42578125" style="153" customWidth="1"/>
    <col min="5636" max="5636" width="10" style="153" customWidth="1"/>
    <col min="5637" max="5637" width="8.42578125" style="153" customWidth="1"/>
    <col min="5638" max="5638" width="11" style="153" customWidth="1"/>
    <col min="5639" max="5639" width="9" style="153" customWidth="1"/>
    <col min="5640" max="5640" width="11.42578125" style="153" customWidth="1"/>
    <col min="5641" max="5641" width="12" style="153" customWidth="1"/>
    <col min="5642" max="5888" width="9.42578125" style="153" customWidth="1"/>
    <col min="5889" max="5889" width="16.42578125" style="153" customWidth="1"/>
    <col min="5890" max="5890" width="10.140625" style="153" customWidth="1"/>
    <col min="5891" max="5891" width="8.42578125" style="153" customWidth="1"/>
    <col min="5892" max="5892" width="10" style="153" customWidth="1"/>
    <col min="5893" max="5893" width="8.42578125" style="153" customWidth="1"/>
    <col min="5894" max="5894" width="11" style="153" customWidth="1"/>
    <col min="5895" max="5895" width="9" style="153" customWidth="1"/>
    <col min="5896" max="5896" width="11.42578125" style="153" customWidth="1"/>
    <col min="5897" max="5897" width="12" style="153" customWidth="1"/>
    <col min="5898" max="6144" width="9.42578125" style="153" customWidth="1"/>
    <col min="6145" max="6145" width="16.42578125" style="153" customWidth="1"/>
    <col min="6146" max="6146" width="10.140625" style="153" customWidth="1"/>
    <col min="6147" max="6147" width="8.42578125" style="153" customWidth="1"/>
    <col min="6148" max="6148" width="10" style="153" customWidth="1"/>
    <col min="6149" max="6149" width="8.42578125" style="153" customWidth="1"/>
    <col min="6150" max="6150" width="11" style="153" customWidth="1"/>
    <col min="6151" max="6151" width="9" style="153" customWidth="1"/>
    <col min="6152" max="6152" width="11.42578125" style="153" customWidth="1"/>
    <col min="6153" max="6153" width="12" style="153" customWidth="1"/>
    <col min="6154" max="6400" width="9.42578125" style="153" customWidth="1"/>
    <col min="6401" max="6401" width="16.42578125" style="153" customWidth="1"/>
    <col min="6402" max="6402" width="10.140625" style="153" customWidth="1"/>
    <col min="6403" max="6403" width="8.42578125" style="153" customWidth="1"/>
    <col min="6404" max="6404" width="10" style="153" customWidth="1"/>
    <col min="6405" max="6405" width="8.42578125" style="153" customWidth="1"/>
    <col min="6406" max="6406" width="11" style="153" customWidth="1"/>
    <col min="6407" max="6407" width="9" style="153" customWidth="1"/>
    <col min="6408" max="6408" width="11.42578125" style="153" customWidth="1"/>
    <col min="6409" max="6409" width="12" style="153" customWidth="1"/>
    <col min="6410" max="6656" width="9.42578125" style="153" customWidth="1"/>
    <col min="6657" max="6657" width="16.42578125" style="153" customWidth="1"/>
    <col min="6658" max="6658" width="10.140625" style="153" customWidth="1"/>
    <col min="6659" max="6659" width="8.42578125" style="153" customWidth="1"/>
    <col min="6660" max="6660" width="10" style="153" customWidth="1"/>
    <col min="6661" max="6661" width="8.42578125" style="153" customWidth="1"/>
    <col min="6662" max="6662" width="11" style="153" customWidth="1"/>
    <col min="6663" max="6663" width="9" style="153" customWidth="1"/>
    <col min="6664" max="6664" width="11.42578125" style="153" customWidth="1"/>
    <col min="6665" max="6665" width="12" style="153" customWidth="1"/>
    <col min="6666" max="6912" width="9.42578125" style="153" customWidth="1"/>
    <col min="6913" max="6913" width="16.42578125" style="153" customWidth="1"/>
    <col min="6914" max="6914" width="10.140625" style="153" customWidth="1"/>
    <col min="6915" max="6915" width="8.42578125" style="153" customWidth="1"/>
    <col min="6916" max="6916" width="10" style="153" customWidth="1"/>
    <col min="6917" max="6917" width="8.42578125" style="153" customWidth="1"/>
    <col min="6918" max="6918" width="11" style="153" customWidth="1"/>
    <col min="6919" max="6919" width="9" style="153" customWidth="1"/>
    <col min="6920" max="6920" width="11.42578125" style="153" customWidth="1"/>
    <col min="6921" max="6921" width="12" style="153" customWidth="1"/>
    <col min="6922" max="7168" width="9.42578125" style="153" customWidth="1"/>
    <col min="7169" max="7169" width="16.42578125" style="153" customWidth="1"/>
    <col min="7170" max="7170" width="10.140625" style="153" customWidth="1"/>
    <col min="7171" max="7171" width="8.42578125" style="153" customWidth="1"/>
    <col min="7172" max="7172" width="10" style="153" customWidth="1"/>
    <col min="7173" max="7173" width="8.42578125" style="153" customWidth="1"/>
    <col min="7174" max="7174" width="11" style="153" customWidth="1"/>
    <col min="7175" max="7175" width="9" style="153" customWidth="1"/>
    <col min="7176" max="7176" width="11.42578125" style="153" customWidth="1"/>
    <col min="7177" max="7177" width="12" style="153" customWidth="1"/>
    <col min="7178" max="7424" width="9.42578125" style="153" customWidth="1"/>
    <col min="7425" max="7425" width="16.42578125" style="153" customWidth="1"/>
    <col min="7426" max="7426" width="10.140625" style="153" customWidth="1"/>
    <col min="7427" max="7427" width="8.42578125" style="153" customWidth="1"/>
    <col min="7428" max="7428" width="10" style="153" customWidth="1"/>
    <col min="7429" max="7429" width="8.42578125" style="153" customWidth="1"/>
    <col min="7430" max="7430" width="11" style="153" customWidth="1"/>
    <col min="7431" max="7431" width="9" style="153" customWidth="1"/>
    <col min="7432" max="7432" width="11.42578125" style="153" customWidth="1"/>
    <col min="7433" max="7433" width="12" style="153" customWidth="1"/>
    <col min="7434" max="7680" width="9.42578125" style="153" customWidth="1"/>
    <col min="7681" max="7681" width="16.42578125" style="153" customWidth="1"/>
    <col min="7682" max="7682" width="10.140625" style="153" customWidth="1"/>
    <col min="7683" max="7683" width="8.42578125" style="153" customWidth="1"/>
    <col min="7684" max="7684" width="10" style="153" customWidth="1"/>
    <col min="7685" max="7685" width="8.42578125" style="153" customWidth="1"/>
    <col min="7686" max="7686" width="11" style="153" customWidth="1"/>
    <col min="7687" max="7687" width="9" style="153" customWidth="1"/>
    <col min="7688" max="7688" width="11.42578125" style="153" customWidth="1"/>
    <col min="7689" max="7689" width="12" style="153" customWidth="1"/>
    <col min="7690" max="7936" width="9.42578125" style="153" customWidth="1"/>
    <col min="7937" max="7937" width="16.42578125" style="153" customWidth="1"/>
    <col min="7938" max="7938" width="10.140625" style="153" customWidth="1"/>
    <col min="7939" max="7939" width="8.42578125" style="153" customWidth="1"/>
    <col min="7940" max="7940" width="10" style="153" customWidth="1"/>
    <col min="7941" max="7941" width="8.42578125" style="153" customWidth="1"/>
    <col min="7942" max="7942" width="11" style="153" customWidth="1"/>
    <col min="7943" max="7943" width="9" style="153" customWidth="1"/>
    <col min="7944" max="7944" width="11.42578125" style="153" customWidth="1"/>
    <col min="7945" max="7945" width="12" style="153" customWidth="1"/>
    <col min="7946" max="8192" width="9.42578125" style="153" customWidth="1"/>
    <col min="8193" max="8193" width="16.42578125" style="153" customWidth="1"/>
    <col min="8194" max="8194" width="10.140625" style="153" customWidth="1"/>
    <col min="8195" max="8195" width="8.42578125" style="153" customWidth="1"/>
    <col min="8196" max="8196" width="10" style="153" customWidth="1"/>
    <col min="8197" max="8197" width="8.42578125" style="153" customWidth="1"/>
    <col min="8198" max="8198" width="11" style="153" customWidth="1"/>
    <col min="8199" max="8199" width="9" style="153" customWidth="1"/>
    <col min="8200" max="8200" width="11.42578125" style="153" customWidth="1"/>
    <col min="8201" max="8201" width="12" style="153" customWidth="1"/>
    <col min="8202" max="8448" width="9.42578125" style="153" customWidth="1"/>
    <col min="8449" max="8449" width="16.42578125" style="153" customWidth="1"/>
    <col min="8450" max="8450" width="10.140625" style="153" customWidth="1"/>
    <col min="8451" max="8451" width="8.42578125" style="153" customWidth="1"/>
    <col min="8452" max="8452" width="10" style="153" customWidth="1"/>
    <col min="8453" max="8453" width="8.42578125" style="153" customWidth="1"/>
    <col min="8454" max="8454" width="11" style="153" customWidth="1"/>
    <col min="8455" max="8455" width="9" style="153" customWidth="1"/>
    <col min="8456" max="8456" width="11.42578125" style="153" customWidth="1"/>
    <col min="8457" max="8457" width="12" style="153" customWidth="1"/>
    <col min="8458" max="8704" width="9.42578125" style="153" customWidth="1"/>
    <col min="8705" max="8705" width="16.42578125" style="153" customWidth="1"/>
    <col min="8706" max="8706" width="10.140625" style="153" customWidth="1"/>
    <col min="8707" max="8707" width="8.42578125" style="153" customWidth="1"/>
    <col min="8708" max="8708" width="10" style="153" customWidth="1"/>
    <col min="8709" max="8709" width="8.42578125" style="153" customWidth="1"/>
    <col min="8710" max="8710" width="11" style="153" customWidth="1"/>
    <col min="8711" max="8711" width="9" style="153" customWidth="1"/>
    <col min="8712" max="8712" width="11.42578125" style="153" customWidth="1"/>
    <col min="8713" max="8713" width="12" style="153" customWidth="1"/>
    <col min="8714" max="8960" width="9.42578125" style="153" customWidth="1"/>
    <col min="8961" max="8961" width="16.42578125" style="153" customWidth="1"/>
    <col min="8962" max="8962" width="10.140625" style="153" customWidth="1"/>
    <col min="8963" max="8963" width="8.42578125" style="153" customWidth="1"/>
    <col min="8964" max="8964" width="10" style="153" customWidth="1"/>
    <col min="8965" max="8965" width="8.42578125" style="153" customWidth="1"/>
    <col min="8966" max="8966" width="11" style="153" customWidth="1"/>
    <col min="8967" max="8967" width="9" style="153" customWidth="1"/>
    <col min="8968" max="8968" width="11.42578125" style="153" customWidth="1"/>
    <col min="8969" max="8969" width="12" style="153" customWidth="1"/>
    <col min="8970" max="9216" width="9.42578125" style="153" customWidth="1"/>
    <col min="9217" max="9217" width="16.42578125" style="153" customWidth="1"/>
    <col min="9218" max="9218" width="10.140625" style="153" customWidth="1"/>
    <col min="9219" max="9219" width="8.42578125" style="153" customWidth="1"/>
    <col min="9220" max="9220" width="10" style="153" customWidth="1"/>
    <col min="9221" max="9221" width="8.42578125" style="153" customWidth="1"/>
    <col min="9222" max="9222" width="11" style="153" customWidth="1"/>
    <col min="9223" max="9223" width="9" style="153" customWidth="1"/>
    <col min="9224" max="9224" width="11.42578125" style="153" customWidth="1"/>
    <col min="9225" max="9225" width="12" style="153" customWidth="1"/>
    <col min="9226" max="9472" width="9.42578125" style="153" customWidth="1"/>
    <col min="9473" max="9473" width="16.42578125" style="153" customWidth="1"/>
    <col min="9474" max="9474" width="10.140625" style="153" customWidth="1"/>
    <col min="9475" max="9475" width="8.42578125" style="153" customWidth="1"/>
    <col min="9476" max="9476" width="10" style="153" customWidth="1"/>
    <col min="9477" max="9477" width="8.42578125" style="153" customWidth="1"/>
    <col min="9478" max="9478" width="11" style="153" customWidth="1"/>
    <col min="9479" max="9479" width="9" style="153" customWidth="1"/>
    <col min="9480" max="9480" width="11.42578125" style="153" customWidth="1"/>
    <col min="9481" max="9481" width="12" style="153" customWidth="1"/>
    <col min="9482" max="9728" width="9.42578125" style="153" customWidth="1"/>
    <col min="9729" max="9729" width="16.42578125" style="153" customWidth="1"/>
    <col min="9730" max="9730" width="10.140625" style="153" customWidth="1"/>
    <col min="9731" max="9731" width="8.42578125" style="153" customWidth="1"/>
    <col min="9732" max="9732" width="10" style="153" customWidth="1"/>
    <col min="9733" max="9733" width="8.42578125" style="153" customWidth="1"/>
    <col min="9734" max="9734" width="11" style="153" customWidth="1"/>
    <col min="9735" max="9735" width="9" style="153" customWidth="1"/>
    <col min="9736" max="9736" width="11.42578125" style="153" customWidth="1"/>
    <col min="9737" max="9737" width="12" style="153" customWidth="1"/>
    <col min="9738" max="9984" width="9.42578125" style="153" customWidth="1"/>
    <col min="9985" max="9985" width="16.42578125" style="153" customWidth="1"/>
    <col min="9986" max="9986" width="10.140625" style="153" customWidth="1"/>
    <col min="9987" max="9987" width="8.42578125" style="153" customWidth="1"/>
    <col min="9988" max="9988" width="10" style="153" customWidth="1"/>
    <col min="9989" max="9989" width="8.42578125" style="153" customWidth="1"/>
    <col min="9990" max="9990" width="11" style="153" customWidth="1"/>
    <col min="9991" max="9991" width="9" style="153" customWidth="1"/>
    <col min="9992" max="9992" width="11.42578125" style="153" customWidth="1"/>
    <col min="9993" max="9993" width="12" style="153" customWidth="1"/>
    <col min="9994" max="10240" width="9.42578125" style="153" customWidth="1"/>
    <col min="10241" max="10241" width="16.42578125" style="153" customWidth="1"/>
    <col min="10242" max="10242" width="10.140625" style="153" customWidth="1"/>
    <col min="10243" max="10243" width="8.42578125" style="153" customWidth="1"/>
    <col min="10244" max="10244" width="10" style="153" customWidth="1"/>
    <col min="10245" max="10245" width="8.42578125" style="153" customWidth="1"/>
    <col min="10246" max="10246" width="11" style="153" customWidth="1"/>
    <col min="10247" max="10247" width="9" style="153" customWidth="1"/>
    <col min="10248" max="10248" width="11.42578125" style="153" customWidth="1"/>
    <col min="10249" max="10249" width="12" style="153" customWidth="1"/>
    <col min="10250" max="10496" width="9.42578125" style="153" customWidth="1"/>
    <col min="10497" max="10497" width="16.42578125" style="153" customWidth="1"/>
    <col min="10498" max="10498" width="10.140625" style="153" customWidth="1"/>
    <col min="10499" max="10499" width="8.42578125" style="153" customWidth="1"/>
    <col min="10500" max="10500" width="10" style="153" customWidth="1"/>
    <col min="10501" max="10501" width="8.42578125" style="153" customWidth="1"/>
    <col min="10502" max="10502" width="11" style="153" customWidth="1"/>
    <col min="10503" max="10503" width="9" style="153" customWidth="1"/>
    <col min="10504" max="10504" width="11.42578125" style="153" customWidth="1"/>
    <col min="10505" max="10505" width="12" style="153" customWidth="1"/>
    <col min="10506" max="10752" width="9.42578125" style="153" customWidth="1"/>
    <col min="10753" max="10753" width="16.42578125" style="153" customWidth="1"/>
    <col min="10754" max="10754" width="10.140625" style="153" customWidth="1"/>
    <col min="10755" max="10755" width="8.42578125" style="153" customWidth="1"/>
    <col min="10756" max="10756" width="10" style="153" customWidth="1"/>
    <col min="10757" max="10757" width="8.42578125" style="153" customWidth="1"/>
    <col min="10758" max="10758" width="11" style="153" customWidth="1"/>
    <col min="10759" max="10759" width="9" style="153" customWidth="1"/>
    <col min="10760" max="10760" width="11.42578125" style="153" customWidth="1"/>
    <col min="10761" max="10761" width="12" style="153" customWidth="1"/>
    <col min="10762" max="11008" width="9.42578125" style="153" customWidth="1"/>
    <col min="11009" max="11009" width="16.42578125" style="153" customWidth="1"/>
    <col min="11010" max="11010" width="10.140625" style="153" customWidth="1"/>
    <col min="11011" max="11011" width="8.42578125" style="153" customWidth="1"/>
    <col min="11012" max="11012" width="10" style="153" customWidth="1"/>
    <col min="11013" max="11013" width="8.42578125" style="153" customWidth="1"/>
    <col min="11014" max="11014" width="11" style="153" customWidth="1"/>
    <col min="11015" max="11015" width="9" style="153" customWidth="1"/>
    <col min="11016" max="11016" width="11.42578125" style="153" customWidth="1"/>
    <col min="11017" max="11017" width="12" style="153" customWidth="1"/>
    <col min="11018" max="11264" width="9.42578125" style="153" customWidth="1"/>
    <col min="11265" max="11265" width="16.42578125" style="153" customWidth="1"/>
    <col min="11266" max="11266" width="10.140625" style="153" customWidth="1"/>
    <col min="11267" max="11267" width="8.42578125" style="153" customWidth="1"/>
    <col min="11268" max="11268" width="10" style="153" customWidth="1"/>
    <col min="11269" max="11269" width="8.42578125" style="153" customWidth="1"/>
    <col min="11270" max="11270" width="11" style="153" customWidth="1"/>
    <col min="11271" max="11271" width="9" style="153" customWidth="1"/>
    <col min="11272" max="11272" width="11.42578125" style="153" customWidth="1"/>
    <col min="11273" max="11273" width="12" style="153" customWidth="1"/>
    <col min="11274" max="11520" width="9.42578125" style="153" customWidth="1"/>
    <col min="11521" max="11521" width="16.42578125" style="153" customWidth="1"/>
    <col min="11522" max="11522" width="10.140625" style="153" customWidth="1"/>
    <col min="11523" max="11523" width="8.42578125" style="153" customWidth="1"/>
    <col min="11524" max="11524" width="10" style="153" customWidth="1"/>
    <col min="11525" max="11525" width="8.42578125" style="153" customWidth="1"/>
    <col min="11526" max="11526" width="11" style="153" customWidth="1"/>
    <col min="11527" max="11527" width="9" style="153" customWidth="1"/>
    <col min="11528" max="11528" width="11.42578125" style="153" customWidth="1"/>
    <col min="11529" max="11529" width="12" style="153" customWidth="1"/>
    <col min="11530" max="11776" width="9.42578125" style="153" customWidth="1"/>
    <col min="11777" max="11777" width="16.42578125" style="153" customWidth="1"/>
    <col min="11778" max="11778" width="10.140625" style="153" customWidth="1"/>
    <col min="11779" max="11779" width="8.42578125" style="153" customWidth="1"/>
    <col min="11780" max="11780" width="10" style="153" customWidth="1"/>
    <col min="11781" max="11781" width="8.42578125" style="153" customWidth="1"/>
    <col min="11782" max="11782" width="11" style="153" customWidth="1"/>
    <col min="11783" max="11783" width="9" style="153" customWidth="1"/>
    <col min="11784" max="11784" width="11.42578125" style="153" customWidth="1"/>
    <col min="11785" max="11785" width="12" style="153" customWidth="1"/>
    <col min="11786" max="12032" width="9.42578125" style="153" customWidth="1"/>
    <col min="12033" max="12033" width="16.42578125" style="153" customWidth="1"/>
    <col min="12034" max="12034" width="10.140625" style="153" customWidth="1"/>
    <col min="12035" max="12035" width="8.42578125" style="153" customWidth="1"/>
    <col min="12036" max="12036" width="10" style="153" customWidth="1"/>
    <col min="12037" max="12037" width="8.42578125" style="153" customWidth="1"/>
    <col min="12038" max="12038" width="11" style="153" customWidth="1"/>
    <col min="12039" max="12039" width="9" style="153" customWidth="1"/>
    <col min="12040" max="12040" width="11.42578125" style="153" customWidth="1"/>
    <col min="12041" max="12041" width="12" style="153" customWidth="1"/>
    <col min="12042" max="12288" width="9.42578125" style="153" customWidth="1"/>
    <col min="12289" max="12289" width="16.42578125" style="153" customWidth="1"/>
    <col min="12290" max="12290" width="10.140625" style="153" customWidth="1"/>
    <col min="12291" max="12291" width="8.42578125" style="153" customWidth="1"/>
    <col min="12292" max="12292" width="10" style="153" customWidth="1"/>
    <col min="12293" max="12293" width="8.42578125" style="153" customWidth="1"/>
    <col min="12294" max="12294" width="11" style="153" customWidth="1"/>
    <col min="12295" max="12295" width="9" style="153" customWidth="1"/>
    <col min="12296" max="12296" width="11.42578125" style="153" customWidth="1"/>
    <col min="12297" max="12297" width="12" style="153" customWidth="1"/>
    <col min="12298" max="12544" width="9.42578125" style="153" customWidth="1"/>
    <col min="12545" max="12545" width="16.42578125" style="153" customWidth="1"/>
    <col min="12546" max="12546" width="10.140625" style="153" customWidth="1"/>
    <col min="12547" max="12547" width="8.42578125" style="153" customWidth="1"/>
    <col min="12548" max="12548" width="10" style="153" customWidth="1"/>
    <col min="12549" max="12549" width="8.42578125" style="153" customWidth="1"/>
    <col min="12550" max="12550" width="11" style="153" customWidth="1"/>
    <col min="12551" max="12551" width="9" style="153" customWidth="1"/>
    <col min="12552" max="12552" width="11.42578125" style="153" customWidth="1"/>
    <col min="12553" max="12553" width="12" style="153" customWidth="1"/>
    <col min="12554" max="12800" width="9.42578125" style="153" customWidth="1"/>
    <col min="12801" max="12801" width="16.42578125" style="153" customWidth="1"/>
    <col min="12802" max="12802" width="10.140625" style="153" customWidth="1"/>
    <col min="12803" max="12803" width="8.42578125" style="153" customWidth="1"/>
    <col min="12804" max="12804" width="10" style="153" customWidth="1"/>
    <col min="12805" max="12805" width="8.42578125" style="153" customWidth="1"/>
    <col min="12806" max="12806" width="11" style="153" customWidth="1"/>
    <col min="12807" max="12807" width="9" style="153" customWidth="1"/>
    <col min="12808" max="12808" width="11.42578125" style="153" customWidth="1"/>
    <col min="12809" max="12809" width="12" style="153" customWidth="1"/>
    <col min="12810" max="13056" width="9.42578125" style="153" customWidth="1"/>
    <col min="13057" max="13057" width="16.42578125" style="153" customWidth="1"/>
    <col min="13058" max="13058" width="10.140625" style="153" customWidth="1"/>
    <col min="13059" max="13059" width="8.42578125" style="153" customWidth="1"/>
    <col min="13060" max="13060" width="10" style="153" customWidth="1"/>
    <col min="13061" max="13061" width="8.42578125" style="153" customWidth="1"/>
    <col min="13062" max="13062" width="11" style="153" customWidth="1"/>
    <col min="13063" max="13063" width="9" style="153" customWidth="1"/>
    <col min="13064" max="13064" width="11.42578125" style="153" customWidth="1"/>
    <col min="13065" max="13065" width="12" style="153" customWidth="1"/>
    <col min="13066" max="13312" width="9.42578125" style="153" customWidth="1"/>
    <col min="13313" max="13313" width="16.42578125" style="153" customWidth="1"/>
    <col min="13314" max="13314" width="10.140625" style="153" customWidth="1"/>
    <col min="13315" max="13315" width="8.42578125" style="153" customWidth="1"/>
    <col min="13316" max="13316" width="10" style="153" customWidth="1"/>
    <col min="13317" max="13317" width="8.42578125" style="153" customWidth="1"/>
    <col min="13318" max="13318" width="11" style="153" customWidth="1"/>
    <col min="13319" max="13319" width="9" style="153" customWidth="1"/>
    <col min="13320" max="13320" width="11.42578125" style="153" customWidth="1"/>
    <col min="13321" max="13321" width="12" style="153" customWidth="1"/>
    <col min="13322" max="13568" width="9.42578125" style="153" customWidth="1"/>
    <col min="13569" max="13569" width="16.42578125" style="153" customWidth="1"/>
    <col min="13570" max="13570" width="10.140625" style="153" customWidth="1"/>
    <col min="13571" max="13571" width="8.42578125" style="153" customWidth="1"/>
    <col min="13572" max="13572" width="10" style="153" customWidth="1"/>
    <col min="13573" max="13573" width="8.42578125" style="153" customWidth="1"/>
    <col min="13574" max="13574" width="11" style="153" customWidth="1"/>
    <col min="13575" max="13575" width="9" style="153" customWidth="1"/>
    <col min="13576" max="13576" width="11.42578125" style="153" customWidth="1"/>
    <col min="13577" max="13577" width="12" style="153" customWidth="1"/>
    <col min="13578" max="13824" width="9.42578125" style="153" customWidth="1"/>
    <col min="13825" max="13825" width="16.42578125" style="153" customWidth="1"/>
    <col min="13826" max="13826" width="10.140625" style="153" customWidth="1"/>
    <col min="13827" max="13827" width="8.42578125" style="153" customWidth="1"/>
    <col min="13828" max="13828" width="10" style="153" customWidth="1"/>
    <col min="13829" max="13829" width="8.42578125" style="153" customWidth="1"/>
    <col min="13830" max="13830" width="11" style="153" customWidth="1"/>
    <col min="13831" max="13831" width="9" style="153" customWidth="1"/>
    <col min="13832" max="13832" width="11.42578125" style="153" customWidth="1"/>
    <col min="13833" max="13833" width="12" style="153" customWidth="1"/>
    <col min="13834" max="14080" width="9.42578125" style="153" customWidth="1"/>
    <col min="14081" max="14081" width="16.42578125" style="153" customWidth="1"/>
    <col min="14082" max="14082" width="10.140625" style="153" customWidth="1"/>
    <col min="14083" max="14083" width="8.42578125" style="153" customWidth="1"/>
    <col min="14084" max="14084" width="10" style="153" customWidth="1"/>
    <col min="14085" max="14085" width="8.42578125" style="153" customWidth="1"/>
    <col min="14086" max="14086" width="11" style="153" customWidth="1"/>
    <col min="14087" max="14087" width="9" style="153" customWidth="1"/>
    <col min="14088" max="14088" width="11.42578125" style="153" customWidth="1"/>
    <col min="14089" max="14089" width="12" style="153" customWidth="1"/>
    <col min="14090" max="14336" width="9.42578125" style="153" customWidth="1"/>
    <col min="14337" max="14337" width="16.42578125" style="153" customWidth="1"/>
    <col min="14338" max="14338" width="10.140625" style="153" customWidth="1"/>
    <col min="14339" max="14339" width="8.42578125" style="153" customWidth="1"/>
    <col min="14340" max="14340" width="10" style="153" customWidth="1"/>
    <col min="14341" max="14341" width="8.42578125" style="153" customWidth="1"/>
    <col min="14342" max="14342" width="11" style="153" customWidth="1"/>
    <col min="14343" max="14343" width="9" style="153" customWidth="1"/>
    <col min="14344" max="14344" width="11.42578125" style="153" customWidth="1"/>
    <col min="14345" max="14345" width="12" style="153" customWidth="1"/>
    <col min="14346" max="14592" width="9.42578125" style="153" customWidth="1"/>
    <col min="14593" max="14593" width="16.42578125" style="153" customWidth="1"/>
    <col min="14594" max="14594" width="10.140625" style="153" customWidth="1"/>
    <col min="14595" max="14595" width="8.42578125" style="153" customWidth="1"/>
    <col min="14596" max="14596" width="10" style="153" customWidth="1"/>
    <col min="14597" max="14597" width="8.42578125" style="153" customWidth="1"/>
    <col min="14598" max="14598" width="11" style="153" customWidth="1"/>
    <col min="14599" max="14599" width="9" style="153" customWidth="1"/>
    <col min="14600" max="14600" width="11.42578125" style="153" customWidth="1"/>
    <col min="14601" max="14601" width="12" style="153" customWidth="1"/>
    <col min="14602" max="14848" width="9.42578125" style="153" customWidth="1"/>
    <col min="14849" max="14849" width="16.42578125" style="153" customWidth="1"/>
    <col min="14850" max="14850" width="10.140625" style="153" customWidth="1"/>
    <col min="14851" max="14851" width="8.42578125" style="153" customWidth="1"/>
    <col min="14852" max="14852" width="10" style="153" customWidth="1"/>
    <col min="14853" max="14853" width="8.42578125" style="153" customWidth="1"/>
    <col min="14854" max="14854" width="11" style="153" customWidth="1"/>
    <col min="14855" max="14855" width="9" style="153" customWidth="1"/>
    <col min="14856" max="14856" width="11.42578125" style="153" customWidth="1"/>
    <col min="14857" max="14857" width="12" style="153" customWidth="1"/>
    <col min="14858" max="15104" width="9.42578125" style="153" customWidth="1"/>
    <col min="15105" max="15105" width="16.42578125" style="153" customWidth="1"/>
    <col min="15106" max="15106" width="10.140625" style="153" customWidth="1"/>
    <col min="15107" max="15107" width="8.42578125" style="153" customWidth="1"/>
    <col min="15108" max="15108" width="10" style="153" customWidth="1"/>
    <col min="15109" max="15109" width="8.42578125" style="153" customWidth="1"/>
    <col min="15110" max="15110" width="11" style="153" customWidth="1"/>
    <col min="15111" max="15111" width="9" style="153" customWidth="1"/>
    <col min="15112" max="15112" width="11.42578125" style="153" customWidth="1"/>
    <col min="15113" max="15113" width="12" style="153" customWidth="1"/>
    <col min="15114" max="15360" width="9.42578125" style="153" customWidth="1"/>
    <col min="15361" max="15361" width="16.42578125" style="153" customWidth="1"/>
    <col min="15362" max="15362" width="10.140625" style="153" customWidth="1"/>
    <col min="15363" max="15363" width="8.42578125" style="153" customWidth="1"/>
    <col min="15364" max="15364" width="10" style="153" customWidth="1"/>
    <col min="15365" max="15365" width="8.42578125" style="153" customWidth="1"/>
    <col min="15366" max="15366" width="11" style="153" customWidth="1"/>
    <col min="15367" max="15367" width="9" style="153" customWidth="1"/>
    <col min="15368" max="15368" width="11.42578125" style="153" customWidth="1"/>
    <col min="15369" max="15369" width="12" style="153" customWidth="1"/>
    <col min="15370" max="15616" width="9.42578125" style="153" customWidth="1"/>
    <col min="15617" max="15617" width="16.42578125" style="153" customWidth="1"/>
    <col min="15618" max="15618" width="10.140625" style="153" customWidth="1"/>
    <col min="15619" max="15619" width="8.42578125" style="153" customWidth="1"/>
    <col min="15620" max="15620" width="10" style="153" customWidth="1"/>
    <col min="15621" max="15621" width="8.42578125" style="153" customWidth="1"/>
    <col min="15622" max="15622" width="11" style="153" customWidth="1"/>
    <col min="15623" max="15623" width="9" style="153" customWidth="1"/>
    <col min="15624" max="15624" width="11.42578125" style="153" customWidth="1"/>
    <col min="15625" max="15625" width="12" style="153" customWidth="1"/>
    <col min="15626" max="15872" width="9.42578125" style="153" customWidth="1"/>
    <col min="15873" max="15873" width="16.42578125" style="153" customWidth="1"/>
    <col min="15874" max="15874" width="10.140625" style="153" customWidth="1"/>
    <col min="15875" max="15875" width="8.42578125" style="153" customWidth="1"/>
    <col min="15876" max="15876" width="10" style="153" customWidth="1"/>
    <col min="15877" max="15877" width="8.42578125" style="153" customWidth="1"/>
    <col min="15878" max="15878" width="11" style="153" customWidth="1"/>
    <col min="15879" max="15879" width="9" style="153" customWidth="1"/>
    <col min="15880" max="15880" width="11.42578125" style="153" customWidth="1"/>
    <col min="15881" max="15881" width="12" style="153" customWidth="1"/>
    <col min="15882" max="16128" width="9.42578125" style="153" customWidth="1"/>
    <col min="16129" max="16129" width="16.42578125" style="153" customWidth="1"/>
    <col min="16130" max="16130" width="10.140625" style="153" customWidth="1"/>
    <col min="16131" max="16131" width="8.42578125" style="153" customWidth="1"/>
    <col min="16132" max="16132" width="10" style="153" customWidth="1"/>
    <col min="16133" max="16133" width="8.42578125" style="153" customWidth="1"/>
    <col min="16134" max="16134" width="11" style="153" customWidth="1"/>
    <col min="16135" max="16135" width="9" style="153" customWidth="1"/>
    <col min="16136" max="16136" width="11.42578125" style="153" customWidth="1"/>
    <col min="16137" max="16137" width="12" style="153" customWidth="1"/>
    <col min="16138" max="16384" width="9.42578125" style="153" customWidth="1"/>
  </cols>
  <sheetData>
    <row r="1" spans="2:10" customFormat="1" ht="15" x14ac:dyDescent="0.25">
      <c r="B1" s="153"/>
      <c r="C1" s="153"/>
      <c r="D1" s="153"/>
      <c r="E1" s="153"/>
      <c r="F1" s="153"/>
      <c r="G1" s="153"/>
      <c r="H1" s="153"/>
      <c r="I1" s="153"/>
      <c r="J1" s="153"/>
    </row>
    <row r="2" spans="2:10" customFormat="1" ht="15" x14ac:dyDescent="0.25">
      <c r="B2" s="153"/>
      <c r="C2" s="153"/>
      <c r="D2" s="153"/>
      <c r="E2" s="153"/>
      <c r="F2" s="153"/>
      <c r="G2" s="153"/>
      <c r="H2" s="153"/>
      <c r="I2" s="153"/>
      <c r="J2" s="154" t="s">
        <v>156</v>
      </c>
    </row>
    <row r="3" spans="2:10" customFormat="1" ht="20.25" x14ac:dyDescent="0.3">
      <c r="B3" s="667" t="s">
        <v>157</v>
      </c>
      <c r="C3" s="667"/>
      <c r="D3" s="667"/>
      <c r="E3" s="667"/>
      <c r="F3" s="667"/>
      <c r="G3" s="667"/>
      <c r="H3" s="667"/>
      <c r="I3" s="667"/>
      <c r="J3" s="155"/>
    </row>
    <row r="4" spans="2:10" customFormat="1" ht="15" x14ac:dyDescent="0.25">
      <c r="B4" s="153"/>
      <c r="C4" s="153"/>
      <c r="D4" s="153"/>
      <c r="E4" s="153"/>
      <c r="F4" s="153"/>
      <c r="G4" s="153"/>
      <c r="H4" s="153"/>
      <c r="I4" s="153"/>
      <c r="J4" s="153"/>
    </row>
    <row r="5" spans="2:10" customFormat="1" ht="15" x14ac:dyDescent="0.25">
      <c r="B5" s="156" t="s">
        <v>158</v>
      </c>
      <c r="C5" s="157"/>
      <c r="D5" s="157"/>
      <c r="E5" s="153"/>
      <c r="F5" s="153"/>
      <c r="G5" s="153"/>
      <c r="H5" s="153"/>
      <c r="I5" s="153"/>
      <c r="J5" s="153"/>
    </row>
    <row r="6" spans="2:10" customFormat="1" ht="15.75" thickBot="1" x14ac:dyDescent="0.3">
      <c r="B6" s="153"/>
      <c r="C6" s="153"/>
      <c r="D6" s="153"/>
      <c r="E6" s="153"/>
      <c r="F6" s="153"/>
      <c r="G6" s="153"/>
      <c r="H6" s="155"/>
      <c r="I6" s="155"/>
      <c r="J6" s="154"/>
    </row>
    <row r="7" spans="2:10" customFormat="1" ht="12.95" customHeight="1" thickBot="1" x14ac:dyDescent="0.3">
      <c r="B7" s="664" t="s">
        <v>159</v>
      </c>
      <c r="C7" s="668" t="s">
        <v>160</v>
      </c>
      <c r="D7" s="668" t="s">
        <v>161</v>
      </c>
      <c r="E7" s="665">
        <v>610</v>
      </c>
      <c r="F7" s="665">
        <v>620</v>
      </c>
      <c r="G7" s="665">
        <v>630</v>
      </c>
      <c r="H7" s="665">
        <v>640</v>
      </c>
      <c r="I7" s="665">
        <v>700</v>
      </c>
      <c r="J7" s="666" t="s">
        <v>137</v>
      </c>
    </row>
    <row r="8" spans="2:10" customFormat="1" ht="16.5" thickTop="1" thickBot="1" x14ac:dyDescent="0.3">
      <c r="B8" s="664"/>
      <c r="C8" s="668"/>
      <c r="D8" s="668"/>
      <c r="E8" s="665"/>
      <c r="F8" s="665"/>
      <c r="G8" s="665"/>
      <c r="H8" s="665"/>
      <c r="I8" s="665"/>
      <c r="J8" s="666"/>
    </row>
    <row r="9" spans="2:10" customFormat="1" ht="15.75" thickTop="1" x14ac:dyDescent="0.25">
      <c r="B9" s="158" t="s">
        <v>162</v>
      </c>
      <c r="C9" s="159">
        <v>67</v>
      </c>
      <c r="D9" s="160">
        <v>20924</v>
      </c>
      <c r="E9" s="161">
        <v>91648</v>
      </c>
      <c r="F9" s="161">
        <v>35159</v>
      </c>
      <c r="G9" s="161">
        <v>27227</v>
      </c>
      <c r="H9" s="161">
        <v>3614</v>
      </c>
      <c r="I9" s="161"/>
      <c r="J9" s="162">
        <v>157648</v>
      </c>
    </row>
    <row r="10" spans="2:10" customFormat="1" ht="15" x14ac:dyDescent="0.25">
      <c r="B10" s="163" t="s">
        <v>163</v>
      </c>
      <c r="C10" s="164">
        <v>117</v>
      </c>
      <c r="D10" s="165">
        <v>33985</v>
      </c>
      <c r="E10" s="166">
        <v>162159</v>
      </c>
      <c r="F10" s="166">
        <v>62991</v>
      </c>
      <c r="G10" s="166">
        <v>55908</v>
      </c>
      <c r="H10" s="166">
        <v>4969</v>
      </c>
      <c r="I10" s="167"/>
      <c r="J10" s="168">
        <v>286027</v>
      </c>
    </row>
    <row r="11" spans="2:10" customFormat="1" ht="15" x14ac:dyDescent="0.25">
      <c r="B11" s="163" t="s">
        <v>164</v>
      </c>
      <c r="C11" s="164">
        <v>72</v>
      </c>
      <c r="D11" s="165">
        <v>21516</v>
      </c>
      <c r="E11" s="166">
        <v>89806</v>
      </c>
      <c r="F11" s="166">
        <v>33112</v>
      </c>
      <c r="G11" s="166">
        <v>30115</v>
      </c>
      <c r="H11" s="166">
        <v>164</v>
      </c>
      <c r="I11" s="167">
        <v>14280</v>
      </c>
      <c r="J11" s="168">
        <v>167477</v>
      </c>
    </row>
    <row r="12" spans="2:10" customFormat="1" ht="15" x14ac:dyDescent="0.25">
      <c r="B12" s="163" t="s">
        <v>165</v>
      </c>
      <c r="C12" s="164">
        <v>83</v>
      </c>
      <c r="D12" s="165">
        <v>24165</v>
      </c>
      <c r="E12" s="166">
        <v>110799</v>
      </c>
      <c r="F12" s="166">
        <v>40868</v>
      </c>
      <c r="G12" s="166">
        <v>54166</v>
      </c>
      <c r="H12" s="166">
        <v>763</v>
      </c>
      <c r="I12" s="167"/>
      <c r="J12" s="168">
        <v>206596</v>
      </c>
    </row>
    <row r="13" spans="2:10" customFormat="1" ht="15" x14ac:dyDescent="0.25">
      <c r="B13" s="163" t="s">
        <v>166</v>
      </c>
      <c r="C13" s="164">
        <v>79</v>
      </c>
      <c r="D13" s="165">
        <v>22715</v>
      </c>
      <c r="E13" s="166">
        <v>112291</v>
      </c>
      <c r="F13" s="166">
        <v>41418</v>
      </c>
      <c r="G13" s="166">
        <v>43352</v>
      </c>
      <c r="H13" s="166">
        <v>3170</v>
      </c>
      <c r="I13" s="167"/>
      <c r="J13" s="168">
        <v>200231</v>
      </c>
    </row>
    <row r="14" spans="2:10" customFormat="1" ht="15" x14ac:dyDescent="0.25">
      <c r="B14" s="163" t="s">
        <v>167</v>
      </c>
      <c r="C14" s="164">
        <v>129</v>
      </c>
      <c r="D14" s="165">
        <v>38913</v>
      </c>
      <c r="E14" s="166">
        <v>166602</v>
      </c>
      <c r="F14" s="166">
        <v>63145</v>
      </c>
      <c r="G14" s="166">
        <v>63171</v>
      </c>
      <c r="H14" s="166">
        <v>4410</v>
      </c>
      <c r="I14" s="167"/>
      <c r="J14" s="168">
        <v>297328</v>
      </c>
    </row>
    <row r="15" spans="2:10" customFormat="1" ht="15" x14ac:dyDescent="0.25">
      <c r="B15" s="163" t="s">
        <v>168</v>
      </c>
      <c r="C15" s="164">
        <v>141</v>
      </c>
      <c r="D15" s="165">
        <v>48188</v>
      </c>
      <c r="E15" s="166">
        <v>164366</v>
      </c>
      <c r="F15" s="166">
        <v>61659</v>
      </c>
      <c r="G15" s="166">
        <v>80060</v>
      </c>
      <c r="H15" s="166">
        <v>2366</v>
      </c>
      <c r="I15" s="167"/>
      <c r="J15" s="168">
        <v>308451</v>
      </c>
    </row>
    <row r="16" spans="2:10" customFormat="1" ht="15" x14ac:dyDescent="0.25">
      <c r="B16" s="163" t="s">
        <v>169</v>
      </c>
      <c r="C16" s="164">
        <v>72</v>
      </c>
      <c r="D16" s="165">
        <v>20438</v>
      </c>
      <c r="E16" s="166">
        <v>123044</v>
      </c>
      <c r="F16" s="166">
        <v>45993</v>
      </c>
      <c r="G16" s="166">
        <v>31348</v>
      </c>
      <c r="H16" s="166">
        <v>1149</v>
      </c>
      <c r="I16" s="167"/>
      <c r="J16" s="168">
        <v>201534</v>
      </c>
    </row>
    <row r="17" spans="2:12" customFormat="1" ht="15" x14ac:dyDescent="0.25">
      <c r="B17" s="163" t="s">
        <v>170</v>
      </c>
      <c r="C17" s="164">
        <v>104</v>
      </c>
      <c r="D17" s="165">
        <v>31512</v>
      </c>
      <c r="E17" s="166">
        <v>157883</v>
      </c>
      <c r="F17" s="166">
        <v>59040</v>
      </c>
      <c r="G17" s="166">
        <v>85620</v>
      </c>
      <c r="H17" s="166">
        <v>250</v>
      </c>
      <c r="I17" s="167">
        <v>2542.64</v>
      </c>
      <c r="J17" s="168">
        <v>305335.64</v>
      </c>
      <c r="K17" s="169"/>
      <c r="L17" s="169"/>
    </row>
    <row r="18" spans="2:12" customFormat="1" ht="15" x14ac:dyDescent="0.25">
      <c r="B18" s="163" t="s">
        <v>171</v>
      </c>
      <c r="C18" s="164">
        <v>125</v>
      </c>
      <c r="D18" s="165">
        <v>39750</v>
      </c>
      <c r="E18" s="166">
        <v>172315</v>
      </c>
      <c r="F18" s="166">
        <v>63590</v>
      </c>
      <c r="G18" s="166">
        <v>57253</v>
      </c>
      <c r="H18" s="166">
        <v>1130</v>
      </c>
      <c r="I18" s="167"/>
      <c r="J18" s="168">
        <v>294288</v>
      </c>
      <c r="K18" s="169"/>
      <c r="L18" s="169"/>
    </row>
    <row r="19" spans="2:12" customFormat="1" ht="15" x14ac:dyDescent="0.25">
      <c r="B19" s="163" t="s">
        <v>172</v>
      </c>
      <c r="C19" s="164">
        <v>71</v>
      </c>
      <c r="D19" s="165">
        <v>21863</v>
      </c>
      <c r="E19" s="166">
        <v>106192</v>
      </c>
      <c r="F19" s="166">
        <v>39166</v>
      </c>
      <c r="G19" s="166">
        <v>32148</v>
      </c>
      <c r="H19" s="166">
        <v>710</v>
      </c>
      <c r="I19" s="167">
        <v>39000</v>
      </c>
      <c r="J19" s="168">
        <v>217216</v>
      </c>
      <c r="K19" s="169"/>
      <c r="L19" s="169"/>
    </row>
    <row r="20" spans="2:12" customFormat="1" ht="15" x14ac:dyDescent="0.25">
      <c r="B20" s="163" t="s">
        <v>173</v>
      </c>
      <c r="C20" s="164">
        <v>36</v>
      </c>
      <c r="D20" s="165">
        <v>13209</v>
      </c>
      <c r="E20" s="166">
        <v>54242</v>
      </c>
      <c r="F20" s="166">
        <v>19970</v>
      </c>
      <c r="G20" s="166">
        <v>16002</v>
      </c>
      <c r="H20" s="166"/>
      <c r="I20" s="167">
        <v>10000</v>
      </c>
      <c r="J20" s="168">
        <v>100214</v>
      </c>
      <c r="K20" s="169"/>
      <c r="L20" s="169"/>
    </row>
    <row r="21" spans="2:12" customFormat="1" ht="15" x14ac:dyDescent="0.25">
      <c r="B21" s="163" t="s">
        <v>174</v>
      </c>
      <c r="C21" s="164">
        <v>40</v>
      </c>
      <c r="D21" s="165">
        <v>22130</v>
      </c>
      <c r="E21" s="166">
        <v>70972</v>
      </c>
      <c r="F21" s="166">
        <v>26152</v>
      </c>
      <c r="G21" s="166">
        <v>17949</v>
      </c>
      <c r="H21" s="166">
        <v>146</v>
      </c>
      <c r="I21" s="167"/>
      <c r="J21" s="168">
        <v>115219</v>
      </c>
      <c r="K21" s="169"/>
      <c r="L21" s="169"/>
    </row>
    <row r="22" spans="2:12" customFormat="1" ht="15" x14ac:dyDescent="0.25">
      <c r="B22" s="163" t="s">
        <v>175</v>
      </c>
      <c r="C22" s="164">
        <v>41</v>
      </c>
      <c r="D22" s="165">
        <v>3146</v>
      </c>
      <c r="E22" s="166">
        <v>63511</v>
      </c>
      <c r="F22" s="166">
        <v>23396</v>
      </c>
      <c r="G22" s="166">
        <v>18229</v>
      </c>
      <c r="H22" s="166">
        <v>1481</v>
      </c>
      <c r="I22" s="167">
        <v>9873.36</v>
      </c>
      <c r="J22" s="168">
        <v>116490.36</v>
      </c>
      <c r="K22" s="169"/>
      <c r="L22" s="169"/>
    </row>
    <row r="23" spans="2:12" customFormat="1" ht="15" x14ac:dyDescent="0.25">
      <c r="B23" s="170" t="s">
        <v>176</v>
      </c>
      <c r="C23" s="171">
        <v>122</v>
      </c>
      <c r="D23" s="172">
        <v>10480</v>
      </c>
      <c r="E23" s="173">
        <v>184975</v>
      </c>
      <c r="F23" s="173">
        <v>69679</v>
      </c>
      <c r="G23" s="173">
        <v>63844</v>
      </c>
      <c r="H23" s="173">
        <v>3796</v>
      </c>
      <c r="I23" s="174"/>
      <c r="J23" s="175">
        <v>322294</v>
      </c>
      <c r="K23" s="169"/>
      <c r="L23" s="169"/>
    </row>
    <row r="24" spans="2:12" customFormat="1" ht="15" x14ac:dyDescent="0.25">
      <c r="B24" s="163" t="s">
        <v>153</v>
      </c>
      <c r="C24" s="164"/>
      <c r="D24" s="165"/>
      <c r="E24" s="166"/>
      <c r="F24" s="166"/>
      <c r="G24" s="166"/>
      <c r="H24" s="166">
        <v>713</v>
      </c>
      <c r="I24" s="167"/>
      <c r="J24" s="168">
        <v>713</v>
      </c>
      <c r="K24" s="169"/>
      <c r="L24" s="169"/>
    </row>
    <row r="25" spans="2:12" customFormat="1" ht="15.75" thickBot="1" x14ac:dyDescent="0.3">
      <c r="B25" s="163" t="s">
        <v>177</v>
      </c>
      <c r="C25" s="164"/>
      <c r="D25" s="165"/>
      <c r="E25" s="166"/>
      <c r="F25" s="166"/>
      <c r="G25" s="166">
        <v>311</v>
      </c>
      <c r="H25" s="166"/>
      <c r="I25" s="167"/>
      <c r="J25" s="168">
        <v>311</v>
      </c>
      <c r="K25" s="169"/>
      <c r="L25" s="176"/>
    </row>
    <row r="26" spans="2:12" s="177" customFormat="1" ht="17.25" customHeight="1" thickTop="1" thickBot="1" x14ac:dyDescent="0.3">
      <c r="B26" s="178" t="s">
        <v>178</v>
      </c>
      <c r="C26" s="179">
        <v>1299</v>
      </c>
      <c r="D26" s="180">
        <v>372934</v>
      </c>
      <c r="E26" s="180">
        <v>1830805</v>
      </c>
      <c r="F26" s="180">
        <v>685338</v>
      </c>
      <c r="G26" s="180">
        <v>676703</v>
      </c>
      <c r="H26" s="180">
        <v>28831</v>
      </c>
      <c r="I26" s="180">
        <v>75696</v>
      </c>
      <c r="J26" s="181">
        <v>3297373</v>
      </c>
    </row>
    <row r="27" spans="2:12" customFormat="1" ht="3.75" customHeight="1" thickBot="1" x14ac:dyDescent="0.3">
      <c r="B27" s="153"/>
      <c r="C27" s="153"/>
      <c r="D27" s="153"/>
      <c r="E27" s="153"/>
      <c r="F27" s="153"/>
      <c r="G27" s="153"/>
      <c r="H27" s="153"/>
      <c r="I27" s="153"/>
      <c r="J27" s="153"/>
      <c r="K27" s="169"/>
      <c r="L27" s="169"/>
    </row>
    <row r="28" spans="2:12" customFormat="1" ht="19.5" customHeight="1" thickBot="1" x14ac:dyDescent="0.3">
      <c r="B28" s="182" t="s">
        <v>6</v>
      </c>
      <c r="C28" s="183">
        <v>196</v>
      </c>
      <c r="D28" s="184">
        <v>20739</v>
      </c>
      <c r="E28" s="185">
        <v>301663.94</v>
      </c>
      <c r="F28" s="186">
        <v>110688.88</v>
      </c>
      <c r="G28" s="186">
        <v>87513.74</v>
      </c>
      <c r="H28" s="186">
        <v>5864</v>
      </c>
      <c r="I28" s="187"/>
      <c r="J28" s="188">
        <v>505730.56</v>
      </c>
      <c r="K28" s="169"/>
      <c r="L28" s="169"/>
    </row>
    <row r="29" spans="2:12" customFormat="1" ht="15" x14ac:dyDescent="0.25">
      <c r="B29" s="153"/>
      <c r="C29" s="153"/>
      <c r="D29" s="153"/>
      <c r="E29" s="153"/>
      <c r="F29" s="153"/>
      <c r="G29" s="153"/>
      <c r="H29" s="153"/>
      <c r="I29" s="153"/>
      <c r="J29" s="189"/>
      <c r="K29" s="169"/>
      <c r="L29" s="169"/>
    </row>
    <row r="30" spans="2:12" customFormat="1" ht="12.95" customHeight="1" x14ac:dyDescent="0.25">
      <c r="B30" s="156" t="s">
        <v>179</v>
      </c>
      <c r="C30" s="157"/>
      <c r="D30" s="157"/>
      <c r="E30" s="153"/>
      <c r="F30" s="153"/>
      <c r="G30" s="153"/>
      <c r="H30" s="153"/>
      <c r="I30" s="153"/>
      <c r="J30" s="153"/>
      <c r="K30" s="169"/>
      <c r="L30" s="169"/>
    </row>
    <row r="31" spans="2:12" customFormat="1" ht="15.75" thickBot="1" x14ac:dyDescent="0.3">
      <c r="B31" s="153"/>
      <c r="C31" s="153"/>
      <c r="D31" s="153"/>
      <c r="E31" s="153"/>
      <c r="F31" s="153"/>
      <c r="G31" s="153"/>
      <c r="H31" s="154"/>
      <c r="I31" s="155"/>
      <c r="J31" s="153"/>
      <c r="K31" s="169"/>
      <c r="L31" s="169"/>
    </row>
    <row r="32" spans="2:12" customFormat="1" ht="15.75" thickBot="1" x14ac:dyDescent="0.3">
      <c r="B32" s="664" t="s">
        <v>159</v>
      </c>
      <c r="C32" s="665">
        <v>610</v>
      </c>
      <c r="D32" s="665">
        <v>620</v>
      </c>
      <c r="E32" s="665">
        <v>630</v>
      </c>
      <c r="F32" s="665">
        <v>640</v>
      </c>
      <c r="G32" s="665">
        <v>700</v>
      </c>
      <c r="H32" s="666" t="s">
        <v>137</v>
      </c>
    </row>
    <row r="33" spans="2:10" customFormat="1" ht="16.5" thickTop="1" thickBot="1" x14ac:dyDescent="0.3">
      <c r="B33" s="664"/>
      <c r="C33" s="665"/>
      <c r="D33" s="665"/>
      <c r="E33" s="665"/>
      <c r="F33" s="665"/>
      <c r="G33" s="665"/>
      <c r="H33" s="666"/>
    </row>
    <row r="34" spans="2:10" customFormat="1" ht="15.75" thickTop="1" x14ac:dyDescent="0.25">
      <c r="B34" s="158" t="s">
        <v>162</v>
      </c>
      <c r="C34" s="161">
        <v>14524</v>
      </c>
      <c r="D34" s="161">
        <v>5672</v>
      </c>
      <c r="E34" s="161">
        <v>19151</v>
      </c>
      <c r="F34" s="161">
        <v>1024</v>
      </c>
      <c r="G34" s="190"/>
      <c r="H34" s="162">
        <v>40371</v>
      </c>
    </row>
    <row r="35" spans="2:10" customFormat="1" ht="15" x14ac:dyDescent="0.25">
      <c r="B35" s="163" t="s">
        <v>163</v>
      </c>
      <c r="C35" s="166">
        <v>26688</v>
      </c>
      <c r="D35" s="166">
        <v>9789</v>
      </c>
      <c r="E35" s="166">
        <v>30133</v>
      </c>
      <c r="F35" s="166">
        <v>84</v>
      </c>
      <c r="G35" s="167"/>
      <c r="H35" s="168">
        <v>66694</v>
      </c>
    </row>
    <row r="36" spans="2:10" customFormat="1" ht="15" x14ac:dyDescent="0.25">
      <c r="B36" s="163" t="s">
        <v>164</v>
      </c>
      <c r="C36" s="166">
        <v>15010</v>
      </c>
      <c r="D36" s="166">
        <v>5473</v>
      </c>
      <c r="E36" s="166">
        <v>19475</v>
      </c>
      <c r="F36" s="166"/>
      <c r="G36" s="167"/>
      <c r="H36" s="168">
        <v>39958</v>
      </c>
    </row>
    <row r="37" spans="2:10" customFormat="1" ht="15" x14ac:dyDescent="0.25">
      <c r="B37" s="163" t="s">
        <v>165</v>
      </c>
      <c r="C37" s="166">
        <v>19690</v>
      </c>
      <c r="D37" s="166">
        <v>7202</v>
      </c>
      <c r="E37" s="166">
        <v>25108</v>
      </c>
      <c r="F37" s="166">
        <v>89</v>
      </c>
      <c r="G37" s="167"/>
      <c r="H37" s="168">
        <v>52089</v>
      </c>
    </row>
    <row r="38" spans="2:10" customFormat="1" ht="15" x14ac:dyDescent="0.25">
      <c r="B38" s="163" t="s">
        <v>166</v>
      </c>
      <c r="C38" s="166">
        <v>20738</v>
      </c>
      <c r="D38" s="166">
        <v>7637</v>
      </c>
      <c r="E38" s="166">
        <v>21813</v>
      </c>
      <c r="F38" s="166">
        <v>79</v>
      </c>
      <c r="G38" s="167"/>
      <c r="H38" s="168">
        <v>50267</v>
      </c>
    </row>
    <row r="39" spans="2:10" customFormat="1" ht="15" x14ac:dyDescent="0.25">
      <c r="B39" s="163" t="s">
        <v>167</v>
      </c>
      <c r="C39" s="166">
        <v>31162</v>
      </c>
      <c r="D39" s="166">
        <v>11622</v>
      </c>
      <c r="E39" s="166">
        <v>33721</v>
      </c>
      <c r="F39" s="166">
        <v>492</v>
      </c>
      <c r="G39" s="167"/>
      <c r="H39" s="168">
        <v>76997</v>
      </c>
    </row>
    <row r="40" spans="2:10" customFormat="1" ht="15" x14ac:dyDescent="0.25">
      <c r="B40" s="163" t="s">
        <v>6</v>
      </c>
      <c r="C40" s="166">
        <v>34232</v>
      </c>
      <c r="D40" s="166">
        <v>12532</v>
      </c>
      <c r="E40" s="166">
        <v>34812</v>
      </c>
      <c r="F40" s="166">
        <v>158</v>
      </c>
      <c r="G40" s="167">
        <v>25313.45</v>
      </c>
      <c r="H40" s="168">
        <v>107047.45</v>
      </c>
    </row>
    <row r="41" spans="2:10" customFormat="1" ht="15" x14ac:dyDescent="0.25">
      <c r="B41" s="163" t="s">
        <v>168</v>
      </c>
      <c r="C41" s="166">
        <v>34488</v>
      </c>
      <c r="D41" s="166">
        <v>12671</v>
      </c>
      <c r="E41" s="166">
        <v>35014</v>
      </c>
      <c r="F41" s="166"/>
      <c r="G41" s="167"/>
      <c r="H41" s="168">
        <v>82173</v>
      </c>
    </row>
    <row r="42" spans="2:10" customFormat="1" ht="15" x14ac:dyDescent="0.25">
      <c r="B42" s="163" t="s">
        <v>169</v>
      </c>
      <c r="C42" s="166">
        <v>19722</v>
      </c>
      <c r="D42" s="166">
        <v>7168</v>
      </c>
      <c r="E42" s="166">
        <v>19079</v>
      </c>
      <c r="F42" s="166">
        <v>148</v>
      </c>
      <c r="G42" s="167"/>
      <c r="H42" s="168">
        <v>46117</v>
      </c>
    </row>
    <row r="43" spans="2:10" customFormat="1" ht="15" x14ac:dyDescent="0.25">
      <c r="B43" s="163" t="s">
        <v>170</v>
      </c>
      <c r="C43" s="166">
        <v>22080</v>
      </c>
      <c r="D43" s="166">
        <v>8266</v>
      </c>
      <c r="E43" s="166">
        <v>24540</v>
      </c>
      <c r="F43" s="166">
        <v>416</v>
      </c>
      <c r="G43" s="167"/>
      <c r="H43" s="168">
        <v>55302</v>
      </c>
    </row>
    <row r="44" spans="2:10" customFormat="1" ht="15" x14ac:dyDescent="0.25">
      <c r="B44" s="163" t="s">
        <v>171</v>
      </c>
      <c r="C44" s="166">
        <v>25835</v>
      </c>
      <c r="D44" s="166">
        <v>9474</v>
      </c>
      <c r="E44" s="166">
        <v>34552</v>
      </c>
      <c r="F44" s="166"/>
      <c r="G44" s="167"/>
      <c r="H44" s="168">
        <v>69861</v>
      </c>
    </row>
    <row r="45" spans="2:10" customFormat="1" ht="15" x14ac:dyDescent="0.25">
      <c r="B45" s="163" t="s">
        <v>172</v>
      </c>
      <c r="C45" s="166">
        <v>19942</v>
      </c>
      <c r="D45" s="166">
        <v>7296</v>
      </c>
      <c r="E45" s="166">
        <v>19948</v>
      </c>
      <c r="F45" s="166"/>
      <c r="G45" s="167"/>
      <c r="H45" s="168">
        <v>47186</v>
      </c>
    </row>
    <row r="46" spans="2:10" customFormat="1" ht="15" x14ac:dyDescent="0.25">
      <c r="B46" s="163" t="s">
        <v>173</v>
      </c>
      <c r="C46" s="166">
        <v>10987</v>
      </c>
      <c r="D46" s="166">
        <v>3973</v>
      </c>
      <c r="E46" s="166">
        <v>13244</v>
      </c>
      <c r="F46" s="166"/>
      <c r="G46" s="167"/>
      <c r="H46" s="168">
        <v>28204</v>
      </c>
    </row>
    <row r="47" spans="2:10" customFormat="1" ht="15.75" thickBot="1" x14ac:dyDescent="0.3">
      <c r="B47" s="170" t="s">
        <v>174</v>
      </c>
      <c r="C47" s="173">
        <v>16846</v>
      </c>
      <c r="D47" s="173">
        <v>6152</v>
      </c>
      <c r="E47" s="173">
        <v>23302</v>
      </c>
      <c r="F47" s="173"/>
      <c r="G47" s="174"/>
      <c r="H47" s="175">
        <v>46300</v>
      </c>
    </row>
    <row r="48" spans="2:10" customFormat="1" ht="20.25" customHeight="1" thickTop="1" thickBot="1" x14ac:dyDescent="0.3">
      <c r="B48" s="178" t="s">
        <v>178</v>
      </c>
      <c r="C48" s="180">
        <v>311944</v>
      </c>
      <c r="D48" s="180">
        <v>114927</v>
      </c>
      <c r="E48" s="180">
        <v>353892</v>
      </c>
      <c r="F48" s="180">
        <v>2490</v>
      </c>
      <c r="G48" s="180">
        <v>25313.45</v>
      </c>
      <c r="H48" s="181">
        <v>808566.45</v>
      </c>
      <c r="I48" s="153"/>
      <c r="J48" s="153"/>
    </row>
    <row r="49" spans="2:10" customFormat="1" ht="15" x14ac:dyDescent="0.25">
      <c r="B49" s="191"/>
      <c r="C49" s="192"/>
      <c r="D49" s="192"/>
      <c r="E49" s="192"/>
      <c r="F49" s="192"/>
      <c r="G49" s="192"/>
      <c r="H49" s="192"/>
      <c r="I49" s="153"/>
      <c r="J49" s="153"/>
    </row>
    <row r="50" spans="2:10" customFormat="1" ht="15" x14ac:dyDescent="0.25">
      <c r="B50" s="153"/>
      <c r="C50" s="153"/>
      <c r="D50" s="153"/>
      <c r="E50" s="153"/>
      <c r="F50" s="153"/>
      <c r="G50" s="153"/>
      <c r="H50" s="153"/>
      <c r="I50" s="153"/>
      <c r="J50" s="189"/>
    </row>
    <row r="51" spans="2:10" customFormat="1" ht="12.95" customHeight="1" x14ac:dyDescent="0.25">
      <c r="B51" s="663" t="s">
        <v>180</v>
      </c>
      <c r="C51" s="663"/>
      <c r="D51" s="663"/>
      <c r="E51" s="663"/>
      <c r="F51" s="663"/>
      <c r="G51" s="663"/>
      <c r="H51" s="663"/>
      <c r="I51" s="153"/>
      <c r="J51" s="189"/>
    </row>
    <row r="52" spans="2:10" customFormat="1" ht="15.75" thickBot="1" x14ac:dyDescent="0.3">
      <c r="B52" s="153"/>
      <c r="C52" s="153"/>
      <c r="D52" s="153"/>
      <c r="E52" s="153"/>
      <c r="F52" s="153"/>
      <c r="G52" s="153"/>
      <c r="H52" s="154"/>
      <c r="I52" s="153"/>
      <c r="J52" s="153"/>
    </row>
    <row r="53" spans="2:10" customFormat="1" ht="15.75" thickBot="1" x14ac:dyDescent="0.3">
      <c r="B53" s="664" t="s">
        <v>159</v>
      </c>
      <c r="C53" s="665">
        <v>610</v>
      </c>
      <c r="D53" s="665">
        <v>620</v>
      </c>
      <c r="E53" s="665">
        <v>630</v>
      </c>
      <c r="F53" s="665">
        <v>640</v>
      </c>
      <c r="G53" s="665">
        <v>700</v>
      </c>
      <c r="H53" s="666" t="s">
        <v>137</v>
      </c>
      <c r="I53" s="153"/>
      <c r="J53" s="153"/>
    </row>
    <row r="54" spans="2:10" customFormat="1" ht="16.5" thickTop="1" thickBot="1" x14ac:dyDescent="0.3">
      <c r="B54" s="664"/>
      <c r="C54" s="665"/>
      <c r="D54" s="665"/>
      <c r="E54" s="665"/>
      <c r="F54" s="665"/>
      <c r="G54" s="665"/>
      <c r="H54" s="666"/>
      <c r="I54" s="153"/>
      <c r="J54" s="153"/>
    </row>
    <row r="55" spans="2:10" customFormat="1" ht="15.75" thickTop="1" x14ac:dyDescent="0.25">
      <c r="B55" s="158" t="s">
        <v>162</v>
      </c>
      <c r="C55" s="161">
        <v>106172</v>
      </c>
      <c r="D55" s="161">
        <v>40831</v>
      </c>
      <c r="E55" s="161">
        <v>46378</v>
      </c>
      <c r="F55" s="161">
        <v>4638</v>
      </c>
      <c r="G55" s="190">
        <v>0</v>
      </c>
      <c r="H55" s="162">
        <v>198019</v>
      </c>
      <c r="I55" s="153"/>
      <c r="J55" s="153"/>
    </row>
    <row r="56" spans="2:10" customFormat="1" ht="15" x14ac:dyDescent="0.25">
      <c r="B56" s="163" t="s">
        <v>163</v>
      </c>
      <c r="C56" s="166">
        <v>188847</v>
      </c>
      <c r="D56" s="166">
        <v>72780</v>
      </c>
      <c r="E56" s="166">
        <v>86041</v>
      </c>
      <c r="F56" s="166">
        <v>5053</v>
      </c>
      <c r="G56" s="167">
        <v>0</v>
      </c>
      <c r="H56" s="168">
        <v>352721</v>
      </c>
      <c r="I56" s="153"/>
      <c r="J56" s="153"/>
    </row>
    <row r="57" spans="2:10" customFormat="1" ht="15" x14ac:dyDescent="0.25">
      <c r="B57" s="163" t="s">
        <v>164</v>
      </c>
      <c r="C57" s="166">
        <v>104816</v>
      </c>
      <c r="D57" s="166">
        <v>38585</v>
      </c>
      <c r="E57" s="166">
        <v>49590</v>
      </c>
      <c r="F57" s="166">
        <v>164</v>
      </c>
      <c r="G57" s="167">
        <v>14280</v>
      </c>
      <c r="H57" s="168">
        <v>207435</v>
      </c>
      <c r="I57" s="153"/>
      <c r="J57" s="153"/>
    </row>
    <row r="58" spans="2:10" customFormat="1" ht="15" x14ac:dyDescent="0.25">
      <c r="B58" s="163" t="s">
        <v>165</v>
      </c>
      <c r="C58" s="166">
        <v>130489</v>
      </c>
      <c r="D58" s="166">
        <v>48070</v>
      </c>
      <c r="E58" s="166">
        <v>79274</v>
      </c>
      <c r="F58" s="166">
        <v>852</v>
      </c>
      <c r="G58" s="167">
        <v>0</v>
      </c>
      <c r="H58" s="168">
        <v>258685</v>
      </c>
      <c r="I58" s="153"/>
      <c r="J58" s="153"/>
    </row>
    <row r="59" spans="2:10" customFormat="1" ht="15" x14ac:dyDescent="0.25">
      <c r="B59" s="163" t="s">
        <v>166</v>
      </c>
      <c r="C59" s="166">
        <v>133029</v>
      </c>
      <c r="D59" s="166">
        <v>49055</v>
      </c>
      <c r="E59" s="166">
        <v>65165</v>
      </c>
      <c r="F59" s="166">
        <v>3249</v>
      </c>
      <c r="G59" s="167">
        <v>0</v>
      </c>
      <c r="H59" s="168">
        <v>250498</v>
      </c>
      <c r="I59" s="153"/>
      <c r="J59" s="153"/>
    </row>
    <row r="60" spans="2:10" customFormat="1" ht="15" x14ac:dyDescent="0.25">
      <c r="B60" s="163" t="s">
        <v>167</v>
      </c>
      <c r="C60" s="166">
        <v>197764</v>
      </c>
      <c r="D60" s="166">
        <v>74767</v>
      </c>
      <c r="E60" s="166">
        <v>96892</v>
      </c>
      <c r="F60" s="166">
        <v>4902</v>
      </c>
      <c r="G60" s="167">
        <v>0</v>
      </c>
      <c r="H60" s="168">
        <v>374325</v>
      </c>
      <c r="I60" s="153"/>
      <c r="J60" s="153"/>
    </row>
    <row r="61" spans="2:10" customFormat="1" ht="15" x14ac:dyDescent="0.25">
      <c r="B61" s="163" t="s">
        <v>6</v>
      </c>
      <c r="C61" s="166">
        <v>34232</v>
      </c>
      <c r="D61" s="166">
        <v>12532</v>
      </c>
      <c r="E61" s="166">
        <v>34812</v>
      </c>
      <c r="F61" s="166">
        <v>158</v>
      </c>
      <c r="G61" s="167">
        <v>0</v>
      </c>
      <c r="H61" s="168">
        <v>81734</v>
      </c>
      <c r="I61" s="153"/>
      <c r="J61" s="153"/>
    </row>
    <row r="62" spans="2:10" customFormat="1" ht="15" x14ac:dyDescent="0.25">
      <c r="B62" s="163" t="s">
        <v>168</v>
      </c>
      <c r="C62" s="166">
        <v>198854</v>
      </c>
      <c r="D62" s="166">
        <v>74330</v>
      </c>
      <c r="E62" s="166">
        <v>115074</v>
      </c>
      <c r="F62" s="166">
        <v>2366</v>
      </c>
      <c r="G62" s="167">
        <v>0</v>
      </c>
      <c r="H62" s="168">
        <v>390624</v>
      </c>
      <c r="I62" s="153"/>
      <c r="J62" s="153"/>
    </row>
    <row r="63" spans="2:10" customFormat="1" ht="15" x14ac:dyDescent="0.25">
      <c r="B63" s="163" t="s">
        <v>169</v>
      </c>
      <c r="C63" s="166">
        <v>142766</v>
      </c>
      <c r="D63" s="166">
        <v>53161</v>
      </c>
      <c r="E63" s="166">
        <v>50427</v>
      </c>
      <c r="F63" s="166">
        <v>1297</v>
      </c>
      <c r="G63" s="167">
        <v>0</v>
      </c>
      <c r="H63" s="168">
        <v>247651</v>
      </c>
      <c r="I63" s="153"/>
      <c r="J63" s="153"/>
    </row>
    <row r="64" spans="2:10" customFormat="1" ht="15" x14ac:dyDescent="0.25">
      <c r="B64" s="163" t="s">
        <v>170</v>
      </c>
      <c r="C64" s="166">
        <v>179963</v>
      </c>
      <c r="D64" s="166">
        <v>67306</v>
      </c>
      <c r="E64" s="166">
        <v>110160</v>
      </c>
      <c r="F64" s="166">
        <v>666</v>
      </c>
      <c r="G64" s="167">
        <v>0</v>
      </c>
      <c r="H64" s="168">
        <v>358095</v>
      </c>
      <c r="I64" s="153"/>
      <c r="J64" s="153"/>
    </row>
    <row r="65" spans="2:10" customFormat="1" ht="15" x14ac:dyDescent="0.25">
      <c r="B65" s="163" t="s">
        <v>171</v>
      </c>
      <c r="C65" s="166">
        <v>198150</v>
      </c>
      <c r="D65" s="166">
        <v>73064</v>
      </c>
      <c r="E65" s="166">
        <v>91805</v>
      </c>
      <c r="F65" s="166">
        <v>1130</v>
      </c>
      <c r="G65" s="167">
        <v>0</v>
      </c>
      <c r="H65" s="168">
        <v>364149</v>
      </c>
      <c r="I65" s="153"/>
      <c r="J65" s="153"/>
    </row>
    <row r="66" spans="2:10" customFormat="1" ht="15" x14ac:dyDescent="0.25">
      <c r="B66" s="163" t="s">
        <v>172</v>
      </c>
      <c r="C66" s="166">
        <v>126134</v>
      </c>
      <c r="D66" s="166">
        <v>46462</v>
      </c>
      <c r="E66" s="166">
        <v>52096</v>
      </c>
      <c r="F66" s="166">
        <v>710</v>
      </c>
      <c r="G66" s="167">
        <v>0</v>
      </c>
      <c r="H66" s="168">
        <v>225402</v>
      </c>
      <c r="I66" s="153"/>
      <c r="J66" s="153"/>
    </row>
    <row r="67" spans="2:10" customFormat="1" ht="15" x14ac:dyDescent="0.25">
      <c r="B67" s="163" t="s">
        <v>173</v>
      </c>
      <c r="C67" s="166">
        <v>65229</v>
      </c>
      <c r="D67" s="166">
        <v>23943</v>
      </c>
      <c r="E67" s="166">
        <v>29246</v>
      </c>
      <c r="F67" s="166">
        <v>0</v>
      </c>
      <c r="G67" s="167">
        <v>0</v>
      </c>
      <c r="H67" s="168">
        <v>118418</v>
      </c>
      <c r="I67" s="153"/>
      <c r="J67" s="153"/>
    </row>
    <row r="68" spans="2:10" customFormat="1" ht="15" x14ac:dyDescent="0.25">
      <c r="B68" s="163" t="s">
        <v>174</v>
      </c>
      <c r="C68" s="166">
        <v>87818</v>
      </c>
      <c r="D68" s="166">
        <v>32304</v>
      </c>
      <c r="E68" s="166">
        <v>41251</v>
      </c>
      <c r="F68" s="166">
        <v>146</v>
      </c>
      <c r="G68" s="167">
        <v>0</v>
      </c>
      <c r="H68" s="168">
        <v>161519</v>
      </c>
      <c r="I68" s="153"/>
      <c r="J68" s="153"/>
    </row>
    <row r="69" spans="2:10" customFormat="1" ht="15" x14ac:dyDescent="0.25">
      <c r="B69" s="163" t="s">
        <v>175</v>
      </c>
      <c r="C69" s="166">
        <v>63511</v>
      </c>
      <c r="D69" s="166">
        <v>23396</v>
      </c>
      <c r="E69" s="166">
        <v>18229</v>
      </c>
      <c r="F69" s="166">
        <v>1481</v>
      </c>
      <c r="G69" s="193">
        <v>0</v>
      </c>
      <c r="H69" s="168">
        <v>106617</v>
      </c>
      <c r="I69" s="153"/>
      <c r="J69" s="153"/>
    </row>
    <row r="70" spans="2:10" customFormat="1" ht="15.75" thickBot="1" x14ac:dyDescent="0.3">
      <c r="B70" s="170" t="s">
        <v>176</v>
      </c>
      <c r="C70" s="173">
        <v>184975</v>
      </c>
      <c r="D70" s="173">
        <v>69679</v>
      </c>
      <c r="E70" s="173">
        <v>63844</v>
      </c>
      <c r="F70" s="173">
        <v>3796</v>
      </c>
      <c r="G70" s="174">
        <v>0</v>
      </c>
      <c r="H70" s="175">
        <v>322294</v>
      </c>
      <c r="I70" s="153"/>
      <c r="J70" s="153"/>
    </row>
    <row r="71" spans="2:10" s="177" customFormat="1" ht="21.75" customHeight="1" thickTop="1" thickBot="1" x14ac:dyDescent="0.3">
      <c r="B71" s="178" t="s">
        <v>178</v>
      </c>
      <c r="C71" s="180">
        <v>2142749</v>
      </c>
      <c r="D71" s="180">
        <v>800265</v>
      </c>
      <c r="E71" s="180">
        <v>1030284</v>
      </c>
      <c r="F71" s="180">
        <v>30608</v>
      </c>
      <c r="G71" s="180">
        <v>14280</v>
      </c>
      <c r="H71" s="181">
        <v>4018186</v>
      </c>
      <c r="J71" s="194"/>
    </row>
    <row r="72" spans="2:10" customFormat="1" ht="15" x14ac:dyDescent="0.25">
      <c r="B72" s="153"/>
      <c r="C72" s="153"/>
      <c r="D72" s="153"/>
      <c r="E72" s="153"/>
      <c r="F72" s="153"/>
      <c r="G72" s="153"/>
      <c r="H72" s="153"/>
      <c r="I72" s="189"/>
      <c r="J72" s="153"/>
    </row>
    <row r="73" spans="2:10" customFormat="1" ht="12" customHeight="1" x14ac:dyDescent="0.25">
      <c r="B73" s="153"/>
      <c r="C73" s="189"/>
      <c r="D73" s="189"/>
      <c r="E73" s="189"/>
      <c r="F73" s="189"/>
      <c r="G73" s="189"/>
      <c r="H73" s="189"/>
      <c r="I73" s="153"/>
      <c r="J73" s="153"/>
    </row>
    <row r="74" spans="2:10" customFormat="1" ht="15" x14ac:dyDescent="0.25">
      <c r="B74" s="153"/>
      <c r="C74" s="153"/>
      <c r="D74" s="153"/>
      <c r="E74" s="153"/>
      <c r="F74" s="189"/>
      <c r="G74" s="189"/>
      <c r="H74" s="153"/>
      <c r="I74" s="153"/>
      <c r="J74" s="153"/>
    </row>
    <row r="75" spans="2:10" customFormat="1" ht="15" x14ac:dyDescent="0.25">
      <c r="B75" s="153"/>
      <c r="C75" s="153"/>
      <c r="D75" s="153"/>
      <c r="E75" s="153"/>
      <c r="F75" s="153"/>
      <c r="G75" s="189"/>
      <c r="H75" s="153"/>
      <c r="I75" s="153"/>
      <c r="J75" s="153"/>
    </row>
  </sheetData>
  <mergeCells count="25">
    <mergeCell ref="B3:I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32:B33"/>
    <mergeCell ref="C32:C33"/>
    <mergeCell ref="D32:D33"/>
    <mergeCell ref="E32:E33"/>
    <mergeCell ref="F32:F33"/>
    <mergeCell ref="G32:G33"/>
    <mergeCell ref="H32:H33"/>
    <mergeCell ref="B51:H51"/>
    <mergeCell ref="B53:B54"/>
    <mergeCell ref="C53:C54"/>
    <mergeCell ref="D53:D54"/>
    <mergeCell ref="E53:E54"/>
    <mergeCell ref="F53:F54"/>
    <mergeCell ref="G53:G54"/>
    <mergeCell ref="H53:H54"/>
  </mergeCells>
  <pageMargins left="0.81" right="0.23" top="0.75" bottom="0.75" header="0.30000000000000004" footer="0.3000000000000000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99"/>
  <sheetViews>
    <sheetView workbookViewId="0"/>
  </sheetViews>
  <sheetFormatPr defaultRowHeight="12.75" x14ac:dyDescent="0.2"/>
  <cols>
    <col min="1" max="1" width="5.42578125" style="27" customWidth="1"/>
    <col min="2" max="2" width="25.28515625" style="27" customWidth="1"/>
    <col min="3" max="3" width="14.42578125" style="27" customWidth="1"/>
    <col min="4" max="4" width="13.28515625" style="27" customWidth="1"/>
    <col min="5" max="5" width="12.42578125" style="27" customWidth="1"/>
    <col min="6" max="6" width="11.42578125" style="27" customWidth="1"/>
    <col min="7" max="7" width="10.140625" style="27" customWidth="1"/>
    <col min="8" max="9" width="10.85546875" style="27" customWidth="1"/>
    <col min="10" max="10" width="12" style="27" customWidth="1"/>
    <col min="11" max="11" width="12.5703125" style="27" customWidth="1"/>
    <col min="12" max="12" width="13.5703125" style="27" customWidth="1"/>
    <col min="13" max="13" width="9.140625" style="27" customWidth="1"/>
    <col min="14" max="16384" width="9.140625" style="27"/>
  </cols>
  <sheetData>
    <row r="3" spans="2:13" ht="18" x14ac:dyDescent="0.25">
      <c r="B3" s="196" t="s">
        <v>181</v>
      </c>
      <c r="I3" s="27" t="s">
        <v>182</v>
      </c>
    </row>
    <row r="4" spans="2:13" ht="7.5" customHeight="1" x14ac:dyDescent="0.2"/>
    <row r="5" spans="2:13" s="131" customFormat="1" ht="22.5" customHeight="1" thickBot="1" x14ac:dyDescent="0.3">
      <c r="B5" s="674" t="s">
        <v>141</v>
      </c>
      <c r="C5" s="674"/>
      <c r="D5" s="674"/>
      <c r="E5" s="674"/>
    </row>
    <row r="6" spans="2:13" ht="13.5" thickTop="1" x14ac:dyDescent="0.2">
      <c r="B6" s="675" t="s">
        <v>183</v>
      </c>
      <c r="C6" s="675"/>
      <c r="D6" s="675"/>
      <c r="E6" s="198">
        <v>39617.019999999997</v>
      </c>
    </row>
    <row r="7" spans="2:13" x14ac:dyDescent="0.2">
      <c r="B7" s="676" t="s">
        <v>184</v>
      </c>
      <c r="C7" s="676"/>
      <c r="D7" s="676"/>
      <c r="E7" s="9">
        <v>20117.2</v>
      </c>
    </row>
    <row r="8" spans="2:13" x14ac:dyDescent="0.2">
      <c r="B8" s="676" t="s">
        <v>185</v>
      </c>
      <c r="C8" s="676"/>
      <c r="D8" s="676"/>
      <c r="E8" s="9">
        <v>17268.25</v>
      </c>
    </row>
    <row r="9" spans="2:13" s="124" customFormat="1" x14ac:dyDescent="0.25">
      <c r="B9" s="669" t="s">
        <v>145</v>
      </c>
      <c r="C9" s="669"/>
      <c r="D9" s="669"/>
      <c r="E9" s="199">
        <v>152470.98000000001</v>
      </c>
    </row>
    <row r="10" spans="2:13" s="124" customFormat="1" x14ac:dyDescent="0.25">
      <c r="B10" s="200" t="s">
        <v>186</v>
      </c>
      <c r="C10" s="201"/>
      <c r="D10" s="202"/>
      <c r="E10" s="203">
        <v>2046.65</v>
      </c>
    </row>
    <row r="11" spans="2:13" s="124" customFormat="1" x14ac:dyDescent="0.25">
      <c r="B11" s="204" t="s">
        <v>187</v>
      </c>
      <c r="C11" s="205"/>
      <c r="D11" s="206"/>
      <c r="E11" s="199">
        <v>508.21</v>
      </c>
    </row>
    <row r="12" spans="2:13" s="124" customFormat="1" ht="13.5" customHeight="1" x14ac:dyDescent="0.25">
      <c r="B12" s="669" t="s">
        <v>188</v>
      </c>
      <c r="C12" s="669"/>
      <c r="D12" s="669"/>
      <c r="E12" s="203">
        <v>16465.400000000001</v>
      </c>
    </row>
    <row r="13" spans="2:13" s="124" customFormat="1" ht="14.25" customHeight="1" thickBot="1" x14ac:dyDescent="0.3">
      <c r="B13" s="678" t="s">
        <v>147</v>
      </c>
      <c r="C13" s="678"/>
      <c r="D13" s="678"/>
      <c r="E13" s="207">
        <v>22294.36</v>
      </c>
    </row>
    <row r="14" spans="2:13" s="131" customFormat="1" ht="16.5" customHeight="1" thickTop="1" x14ac:dyDescent="0.25">
      <c r="B14" s="680" t="s">
        <v>137</v>
      </c>
      <c r="C14" s="680"/>
      <c r="D14" s="680"/>
      <c r="E14" s="208">
        <f>SUM(E6:E13)</f>
        <v>270788.07</v>
      </c>
    </row>
    <row r="15" spans="2:13" customFormat="1" ht="7.5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s="133" customFormat="1" ht="83.25" customHeight="1" thickBot="1" x14ac:dyDescent="0.3">
      <c r="B16" s="197" t="s">
        <v>58</v>
      </c>
      <c r="C16" s="209" t="s">
        <v>189</v>
      </c>
      <c r="D16" s="209" t="s">
        <v>190</v>
      </c>
      <c r="E16" s="209" t="s">
        <v>191</v>
      </c>
      <c r="F16" s="209" t="s">
        <v>192</v>
      </c>
      <c r="G16" s="209" t="s">
        <v>193</v>
      </c>
      <c r="H16" s="209" t="s">
        <v>194</v>
      </c>
      <c r="I16" s="210" t="s">
        <v>137</v>
      </c>
    </row>
    <row r="17" spans="2:13" customFormat="1" ht="15.75" thickTop="1" x14ac:dyDescent="0.25">
      <c r="B17" s="211" t="s">
        <v>65</v>
      </c>
      <c r="C17" s="212">
        <v>313767.96999999997</v>
      </c>
      <c r="D17" s="212">
        <v>501548.32</v>
      </c>
      <c r="E17" s="212">
        <v>31668</v>
      </c>
      <c r="F17" s="212">
        <v>52674</v>
      </c>
      <c r="G17" s="212">
        <v>101306</v>
      </c>
      <c r="H17" s="212"/>
      <c r="I17" s="212">
        <f t="shared" ref="I17:I27" si="0">C17+D17+E17+F17+G17+H17</f>
        <v>1000964.29</v>
      </c>
      <c r="J17" s="27"/>
      <c r="K17" s="27"/>
      <c r="L17" s="27"/>
      <c r="M17" s="27"/>
    </row>
    <row r="18" spans="2:13" customFormat="1" ht="15" x14ac:dyDescent="0.25">
      <c r="B18" s="213" t="s">
        <v>66</v>
      </c>
      <c r="C18" s="214">
        <v>109817.1</v>
      </c>
      <c r="D18" s="214">
        <v>178434.15</v>
      </c>
      <c r="E18" s="214">
        <v>11084</v>
      </c>
      <c r="F18" s="214">
        <v>18436</v>
      </c>
      <c r="G18" s="214">
        <v>35463</v>
      </c>
      <c r="H18" s="214"/>
      <c r="I18" s="214">
        <f t="shared" si="0"/>
        <v>353234.25</v>
      </c>
      <c r="J18" s="27"/>
      <c r="K18" s="27"/>
      <c r="L18" s="27"/>
      <c r="M18" s="27"/>
    </row>
    <row r="19" spans="2:13" customFormat="1" ht="15" x14ac:dyDescent="0.25">
      <c r="B19" s="213" t="s">
        <v>67</v>
      </c>
      <c r="C19" s="214">
        <f t="shared" ref="C19:H19" si="1">SUM(C20:C25)</f>
        <v>83904.43</v>
      </c>
      <c r="D19" s="214">
        <f t="shared" si="1"/>
        <v>192158.43</v>
      </c>
      <c r="E19" s="214">
        <f t="shared" si="1"/>
        <v>7400</v>
      </c>
      <c r="F19" s="214">
        <f t="shared" si="1"/>
        <v>165071.51999999999</v>
      </c>
      <c r="G19" s="214">
        <f t="shared" si="1"/>
        <v>9209.34</v>
      </c>
      <c r="H19" s="214">
        <f t="shared" si="1"/>
        <v>415.12</v>
      </c>
      <c r="I19" s="214">
        <f t="shared" si="0"/>
        <v>458158.84</v>
      </c>
      <c r="J19" s="27"/>
      <c r="K19" s="27"/>
      <c r="L19" s="27"/>
      <c r="M19" s="27"/>
    </row>
    <row r="20" spans="2:13" customFormat="1" ht="15" x14ac:dyDescent="0.25">
      <c r="B20" s="215" t="s">
        <v>89</v>
      </c>
      <c r="C20" s="9">
        <v>116.59</v>
      </c>
      <c r="D20" s="9">
        <v>174.9</v>
      </c>
      <c r="E20" s="9">
        <v>0</v>
      </c>
      <c r="F20" s="9">
        <v>0</v>
      </c>
      <c r="G20" s="9">
        <v>0</v>
      </c>
      <c r="H20" s="9"/>
      <c r="I20" s="9">
        <f t="shared" si="0"/>
        <v>291.49</v>
      </c>
      <c r="J20" s="27"/>
      <c r="K20" s="27"/>
      <c r="L20" s="27"/>
      <c r="M20" s="27"/>
    </row>
    <row r="21" spans="2:13" customFormat="1" ht="15" x14ac:dyDescent="0.25">
      <c r="B21" s="215" t="s">
        <v>68</v>
      </c>
      <c r="C21" s="9">
        <v>35698.94</v>
      </c>
      <c r="D21" s="9">
        <v>73446.679999999993</v>
      </c>
      <c r="E21" s="9">
        <v>890.17</v>
      </c>
      <c r="F21" s="9">
        <v>1102.8</v>
      </c>
      <c r="G21" s="9">
        <v>2300.39</v>
      </c>
      <c r="H21" s="9"/>
      <c r="I21" s="9">
        <f t="shared" si="0"/>
        <v>113438.98</v>
      </c>
      <c r="J21" s="27"/>
      <c r="K21" s="27"/>
      <c r="L21" s="27"/>
      <c r="M21" s="27"/>
    </row>
    <row r="22" spans="2:13" customFormat="1" ht="15" x14ac:dyDescent="0.25">
      <c r="B22" s="215" t="s">
        <v>69</v>
      </c>
      <c r="C22" s="9">
        <v>17159.419999999998</v>
      </c>
      <c r="D22" s="9">
        <v>38018.89</v>
      </c>
      <c r="E22" s="9">
        <v>2909.71</v>
      </c>
      <c r="F22" s="9">
        <v>137259.23000000001</v>
      </c>
      <c r="G22" s="9">
        <v>3053.66</v>
      </c>
      <c r="H22" s="9">
        <v>415.12</v>
      </c>
      <c r="I22" s="9">
        <f t="shared" si="0"/>
        <v>198816.03</v>
      </c>
      <c r="J22" s="27"/>
      <c r="K22" s="27"/>
      <c r="L22" s="27"/>
      <c r="M22" s="27"/>
    </row>
    <row r="23" spans="2:13" customFormat="1" ht="15" x14ac:dyDescent="0.25">
      <c r="B23" s="215" t="s">
        <v>71</v>
      </c>
      <c r="C23" s="9">
        <v>5679.84</v>
      </c>
      <c r="D23" s="9">
        <v>17982.150000000001</v>
      </c>
      <c r="E23" s="9">
        <v>244.02</v>
      </c>
      <c r="F23" s="9">
        <v>366.02</v>
      </c>
      <c r="G23" s="9">
        <v>0</v>
      </c>
      <c r="H23" s="9"/>
      <c r="I23" s="9">
        <f t="shared" si="0"/>
        <v>24272.030000000002</v>
      </c>
      <c r="J23" s="27"/>
      <c r="K23" s="27"/>
      <c r="L23" s="27"/>
      <c r="M23" s="27"/>
    </row>
    <row r="24" spans="2:13" customFormat="1" ht="15" x14ac:dyDescent="0.25">
      <c r="B24" s="215" t="s">
        <v>72</v>
      </c>
      <c r="C24" s="9">
        <v>6.69</v>
      </c>
      <c r="D24" s="9">
        <v>10.029999999999999</v>
      </c>
      <c r="E24" s="9">
        <v>0</v>
      </c>
      <c r="F24" s="9">
        <v>0</v>
      </c>
      <c r="G24" s="9">
        <v>0</v>
      </c>
      <c r="H24" s="9"/>
      <c r="I24" s="9">
        <f t="shared" si="0"/>
        <v>16.72</v>
      </c>
      <c r="J24" s="27"/>
      <c r="K24" s="27"/>
      <c r="L24" s="27"/>
      <c r="M24" s="27"/>
    </row>
    <row r="25" spans="2:13" customFormat="1" ht="15" x14ac:dyDescent="0.25">
      <c r="B25" s="215" t="s">
        <v>73</v>
      </c>
      <c r="C25" s="9">
        <v>25242.95</v>
      </c>
      <c r="D25" s="9">
        <v>62525.78</v>
      </c>
      <c r="E25" s="9">
        <v>3356.1</v>
      </c>
      <c r="F25" s="9">
        <v>26343.47</v>
      </c>
      <c r="G25" s="9">
        <v>3855.29</v>
      </c>
      <c r="H25" s="9"/>
      <c r="I25" s="9">
        <f t="shared" si="0"/>
        <v>121323.59</v>
      </c>
      <c r="J25" s="27"/>
      <c r="K25" s="27"/>
      <c r="L25" s="27"/>
      <c r="M25" s="27"/>
    </row>
    <row r="26" spans="2:13" customFormat="1" ht="15.75" thickBot="1" x14ac:dyDescent="0.3">
      <c r="B26" s="216" t="s">
        <v>74</v>
      </c>
      <c r="C26" s="217">
        <v>1469.99</v>
      </c>
      <c r="D26" s="217">
        <v>3393</v>
      </c>
      <c r="E26" s="217">
        <v>0</v>
      </c>
      <c r="F26" s="217">
        <v>387.18</v>
      </c>
      <c r="G26" s="217">
        <v>790.66</v>
      </c>
      <c r="H26" s="217">
        <v>99.6</v>
      </c>
      <c r="I26" s="217">
        <f t="shared" si="0"/>
        <v>6140.43</v>
      </c>
      <c r="J26" s="27"/>
      <c r="K26" s="27"/>
      <c r="L26" s="27"/>
      <c r="M26" s="27"/>
    </row>
    <row r="27" spans="2:13" customFormat="1" ht="18.75" customHeight="1" thickTop="1" x14ac:dyDescent="0.25">
      <c r="B27" s="218" t="s">
        <v>137</v>
      </c>
      <c r="C27" s="208">
        <f t="shared" ref="C27:H27" si="2">C17+C18+C19+C26</f>
        <v>508959.48999999993</v>
      </c>
      <c r="D27" s="208">
        <f t="shared" si="2"/>
        <v>875533.89999999991</v>
      </c>
      <c r="E27" s="208">
        <f t="shared" si="2"/>
        <v>50152</v>
      </c>
      <c r="F27" s="208">
        <f t="shared" si="2"/>
        <v>236568.69999999998</v>
      </c>
      <c r="G27" s="208">
        <f t="shared" si="2"/>
        <v>146769</v>
      </c>
      <c r="H27" s="208">
        <f t="shared" si="2"/>
        <v>514.72</v>
      </c>
      <c r="I27" s="208">
        <f t="shared" si="0"/>
        <v>1818497.8099999998</v>
      </c>
      <c r="J27" s="27"/>
      <c r="K27" s="27"/>
      <c r="L27" s="27"/>
      <c r="M27" s="27"/>
    </row>
    <row r="28" spans="2:13" customFormat="1" ht="18.75" customHeight="1" x14ac:dyDescent="0.25">
      <c r="B28" s="27"/>
      <c r="C28" s="27"/>
      <c r="D28" s="27"/>
      <c r="E28" s="27"/>
      <c r="F28" s="27"/>
      <c r="G28" s="219"/>
      <c r="H28" s="27"/>
      <c r="I28" s="27"/>
      <c r="J28" s="27"/>
      <c r="K28" s="27"/>
      <c r="L28" s="27"/>
      <c r="M28" s="27"/>
    </row>
    <row r="29" spans="2:13" customFormat="1" ht="18" x14ac:dyDescent="0.25">
      <c r="B29" s="196" t="s">
        <v>195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3" customFormat="1" ht="7.5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s="131" customFormat="1" ht="16.5" customHeight="1" thickBot="1" x14ac:dyDescent="0.3">
      <c r="B31" s="674" t="s">
        <v>141</v>
      </c>
      <c r="C31" s="674"/>
      <c r="D31" s="674"/>
      <c r="E31" s="674"/>
    </row>
    <row r="32" spans="2:13" customFormat="1" ht="15.75" thickTop="1" x14ac:dyDescent="0.25">
      <c r="B32" s="675" t="s">
        <v>183</v>
      </c>
      <c r="C32" s="675"/>
      <c r="D32" s="675"/>
      <c r="E32" s="198">
        <v>1611.36</v>
      </c>
      <c r="F32" s="27"/>
      <c r="G32" s="27"/>
      <c r="H32" s="27"/>
      <c r="I32" s="27"/>
      <c r="J32" s="27"/>
      <c r="K32" s="27"/>
      <c r="L32" s="27"/>
      <c r="M32" s="27"/>
    </row>
    <row r="33" spans="2:13" customFormat="1" ht="15" x14ac:dyDescent="0.25">
      <c r="B33" s="676" t="s">
        <v>184</v>
      </c>
      <c r="C33" s="676"/>
      <c r="D33" s="676"/>
      <c r="E33" s="9">
        <v>8717.9</v>
      </c>
      <c r="F33" s="27"/>
      <c r="G33" s="27"/>
      <c r="H33" s="27"/>
      <c r="I33" s="27"/>
      <c r="J33" s="27"/>
      <c r="K33" s="27"/>
      <c r="L33" s="27"/>
      <c r="M33" s="27"/>
    </row>
    <row r="34" spans="2:13" customFormat="1" ht="15" x14ac:dyDescent="0.25">
      <c r="B34" s="676" t="s">
        <v>185</v>
      </c>
      <c r="C34" s="676"/>
      <c r="D34" s="676"/>
      <c r="E34" s="9">
        <v>7760.83</v>
      </c>
      <c r="F34" s="27"/>
      <c r="G34" s="27"/>
      <c r="H34" s="27"/>
      <c r="I34" s="27"/>
      <c r="J34" s="27"/>
      <c r="K34" s="27"/>
      <c r="L34" s="27"/>
      <c r="M34" s="27"/>
    </row>
    <row r="35" spans="2:13" customFormat="1" ht="15" x14ac:dyDescent="0.25">
      <c r="B35" s="676" t="s">
        <v>145</v>
      </c>
      <c r="C35" s="676"/>
      <c r="D35" s="676"/>
      <c r="E35" s="9">
        <v>65751.63</v>
      </c>
      <c r="F35" s="27"/>
      <c r="G35" s="27"/>
      <c r="H35" s="27"/>
      <c r="I35" s="27"/>
      <c r="J35" s="27"/>
      <c r="K35" s="27"/>
      <c r="L35" s="27"/>
      <c r="M35" s="27"/>
    </row>
    <row r="36" spans="2:13" s="124" customFormat="1" x14ac:dyDescent="0.25">
      <c r="B36" s="669" t="s">
        <v>54</v>
      </c>
      <c r="C36" s="669"/>
      <c r="D36" s="669"/>
      <c r="E36" s="199">
        <v>804.45</v>
      </c>
    </row>
    <row r="37" spans="2:13" s="124" customFormat="1" x14ac:dyDescent="0.25">
      <c r="B37" s="200" t="s">
        <v>187</v>
      </c>
      <c r="C37" s="201"/>
      <c r="D37" s="202"/>
      <c r="E37" s="203">
        <v>947.25</v>
      </c>
    </row>
    <row r="38" spans="2:13" s="124" customFormat="1" ht="12.75" customHeight="1" x14ac:dyDescent="0.25">
      <c r="B38" s="669" t="s">
        <v>188</v>
      </c>
      <c r="C38" s="669"/>
      <c r="D38" s="669"/>
      <c r="E38" s="203">
        <v>14890.3</v>
      </c>
    </row>
    <row r="39" spans="2:13" s="124" customFormat="1" ht="12.75" customHeight="1" x14ac:dyDescent="0.25">
      <c r="B39" s="669" t="s">
        <v>196</v>
      </c>
      <c r="C39" s="669"/>
      <c r="D39" s="669"/>
      <c r="E39" s="203">
        <v>965.87</v>
      </c>
    </row>
    <row r="40" spans="2:13" s="124" customFormat="1" ht="15.75" customHeight="1" thickBot="1" x14ac:dyDescent="0.3">
      <c r="B40" s="678" t="s">
        <v>147</v>
      </c>
      <c r="C40" s="678"/>
      <c r="D40" s="678"/>
      <c r="E40" s="207">
        <v>6192.38</v>
      </c>
    </row>
    <row r="41" spans="2:13" s="131" customFormat="1" ht="18.75" customHeight="1" thickTop="1" x14ac:dyDescent="0.25">
      <c r="B41" s="680" t="s">
        <v>137</v>
      </c>
      <c r="C41" s="680"/>
      <c r="D41" s="680"/>
      <c r="E41" s="208">
        <f>SUM(E32:E40)</f>
        <v>107641.97</v>
      </c>
    </row>
    <row r="42" spans="2:13" customFormat="1" ht="7.5" customHeight="1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2:13" s="133" customFormat="1" ht="84.75" thickBot="1" x14ac:dyDescent="0.3">
      <c r="B43" s="197" t="s">
        <v>58</v>
      </c>
      <c r="C43" s="209" t="s">
        <v>189</v>
      </c>
      <c r="D43" s="209" t="s">
        <v>190</v>
      </c>
      <c r="E43" s="209" t="s">
        <v>191</v>
      </c>
      <c r="F43" s="209" t="s">
        <v>192</v>
      </c>
      <c r="G43" s="209" t="s">
        <v>193</v>
      </c>
      <c r="H43" s="209" t="s">
        <v>194</v>
      </c>
      <c r="I43" s="210" t="s">
        <v>137</v>
      </c>
    </row>
    <row r="44" spans="2:13" customFormat="1" ht="15.75" thickTop="1" x14ac:dyDescent="0.25">
      <c r="B44" s="211" t="s">
        <v>65</v>
      </c>
      <c r="C44" s="212">
        <v>211132.01</v>
      </c>
      <c r="D44" s="212">
        <v>256638.92</v>
      </c>
      <c r="E44" s="212">
        <v>20665.919999999998</v>
      </c>
      <c r="F44" s="212">
        <v>20665.91</v>
      </c>
      <c r="G44" s="212">
        <v>56680.26</v>
      </c>
      <c r="H44" s="212"/>
      <c r="I44" s="212">
        <f t="shared" ref="I44:I56" si="3">C44+D44+E44+F44+G44+H44</f>
        <v>565783.02</v>
      </c>
      <c r="J44" s="27"/>
      <c r="K44" s="27"/>
      <c r="L44" s="27"/>
      <c r="M44" s="27"/>
    </row>
    <row r="45" spans="2:13" customFormat="1" ht="15" x14ac:dyDescent="0.25">
      <c r="B45" s="213" t="s">
        <v>66</v>
      </c>
      <c r="C45" s="214">
        <v>74921.399999999994</v>
      </c>
      <c r="D45" s="214">
        <v>90822.39</v>
      </c>
      <c r="E45" s="214">
        <v>7502.48</v>
      </c>
      <c r="F45" s="214">
        <v>7502.48</v>
      </c>
      <c r="G45" s="214">
        <v>20416.75</v>
      </c>
      <c r="H45" s="214"/>
      <c r="I45" s="214">
        <f t="shared" si="3"/>
        <v>201165.5</v>
      </c>
      <c r="J45" s="27"/>
      <c r="K45" s="27"/>
      <c r="L45" s="27"/>
      <c r="M45" s="27"/>
    </row>
    <row r="46" spans="2:13" customFormat="1" ht="15" x14ac:dyDescent="0.25">
      <c r="B46" s="213" t="s">
        <v>67</v>
      </c>
      <c r="C46" s="214">
        <f t="shared" ref="C46:H46" si="4">SUM(C47:C53)</f>
        <v>49881.08</v>
      </c>
      <c r="D46" s="214">
        <f t="shared" si="4"/>
        <v>67237.36</v>
      </c>
      <c r="E46" s="214">
        <f t="shared" si="4"/>
        <v>50266.840000000004</v>
      </c>
      <c r="F46" s="214">
        <f t="shared" si="4"/>
        <v>52892.72</v>
      </c>
      <c r="G46" s="214">
        <f t="shared" si="4"/>
        <v>9500</v>
      </c>
      <c r="H46" s="214">
        <f t="shared" si="4"/>
        <v>661.5</v>
      </c>
      <c r="I46" s="214">
        <f t="shared" si="3"/>
        <v>230439.5</v>
      </c>
      <c r="J46" s="27"/>
      <c r="K46" s="27"/>
      <c r="L46" s="27"/>
      <c r="M46" s="27"/>
    </row>
    <row r="47" spans="2:13" customFormat="1" ht="15" x14ac:dyDescent="0.25">
      <c r="B47" s="215" t="s">
        <v>89</v>
      </c>
      <c r="C47" s="9">
        <v>450.23</v>
      </c>
      <c r="D47" s="9">
        <v>450.23</v>
      </c>
      <c r="E47" s="9">
        <v>0</v>
      </c>
      <c r="F47" s="9">
        <v>0</v>
      </c>
      <c r="G47" s="9">
        <v>0</v>
      </c>
      <c r="H47" s="9"/>
      <c r="I47" s="9">
        <f t="shared" si="3"/>
        <v>900.46</v>
      </c>
      <c r="J47" s="27"/>
      <c r="K47" s="27"/>
      <c r="L47" s="27"/>
      <c r="M47" s="27"/>
    </row>
    <row r="48" spans="2:13" customFormat="1" ht="15" x14ac:dyDescent="0.25">
      <c r="B48" s="215" t="s">
        <v>68</v>
      </c>
      <c r="C48" s="9">
        <v>15934.53</v>
      </c>
      <c r="D48" s="9">
        <v>22235.98</v>
      </c>
      <c r="E48" s="9">
        <v>12330</v>
      </c>
      <c r="F48" s="9">
        <v>12330</v>
      </c>
      <c r="G48" s="9">
        <v>2220.11</v>
      </c>
      <c r="H48" s="9"/>
      <c r="I48" s="9">
        <f t="shared" si="3"/>
        <v>65050.62</v>
      </c>
      <c r="J48" s="27"/>
      <c r="K48" s="27"/>
      <c r="L48" s="27"/>
      <c r="M48" s="27"/>
    </row>
    <row r="49" spans="2:13" customFormat="1" ht="15" x14ac:dyDescent="0.25">
      <c r="B49" s="215" t="s">
        <v>69</v>
      </c>
      <c r="C49" s="9">
        <v>9629</v>
      </c>
      <c r="D49" s="9">
        <v>15364.73</v>
      </c>
      <c r="E49" s="9">
        <v>33437.08</v>
      </c>
      <c r="F49" s="9">
        <v>33437.089999999997</v>
      </c>
      <c r="G49" s="9">
        <v>2884.76</v>
      </c>
      <c r="H49" s="9">
        <v>661.5</v>
      </c>
      <c r="I49" s="9">
        <f t="shared" si="3"/>
        <v>95414.159999999989</v>
      </c>
      <c r="J49" s="27"/>
      <c r="K49" s="27"/>
      <c r="L49" s="27"/>
      <c r="M49" s="27"/>
    </row>
    <row r="50" spans="2:13" customFormat="1" ht="15" x14ac:dyDescent="0.25">
      <c r="B50" s="215" t="s">
        <v>70</v>
      </c>
      <c r="C50" s="9">
        <v>754.3</v>
      </c>
      <c r="D50" s="9">
        <v>0</v>
      </c>
      <c r="E50" s="9">
        <v>0</v>
      </c>
      <c r="F50" s="9">
        <v>0</v>
      </c>
      <c r="G50" s="9">
        <v>384</v>
      </c>
      <c r="H50" s="9"/>
      <c r="I50" s="9">
        <f t="shared" si="3"/>
        <v>1138.3</v>
      </c>
      <c r="J50" s="27"/>
      <c r="K50" s="27"/>
      <c r="L50" s="27"/>
      <c r="M50" s="27"/>
    </row>
    <row r="51" spans="2:13" customFormat="1" ht="15" x14ac:dyDescent="0.25">
      <c r="B51" s="215" t="s">
        <v>71</v>
      </c>
      <c r="C51" s="9">
        <v>2042.62</v>
      </c>
      <c r="D51" s="9">
        <v>2042.64</v>
      </c>
      <c r="E51" s="9">
        <v>1699.76</v>
      </c>
      <c r="F51" s="9">
        <v>1699.76</v>
      </c>
      <c r="G51" s="9">
        <v>2261.34</v>
      </c>
      <c r="H51" s="9"/>
      <c r="I51" s="9">
        <f t="shared" si="3"/>
        <v>9746.1200000000008</v>
      </c>
      <c r="J51" s="27"/>
      <c r="K51" s="27"/>
      <c r="L51" s="27"/>
      <c r="M51" s="27"/>
    </row>
    <row r="52" spans="2:13" customFormat="1" ht="15" x14ac:dyDescent="0.25">
      <c r="B52" s="215" t="s">
        <v>72</v>
      </c>
      <c r="C52" s="9">
        <v>113.4</v>
      </c>
      <c r="D52" s="9">
        <v>113.4</v>
      </c>
      <c r="E52" s="9">
        <v>0</v>
      </c>
      <c r="F52" s="9">
        <v>0</v>
      </c>
      <c r="G52" s="9">
        <v>0</v>
      </c>
      <c r="H52" s="9"/>
      <c r="I52" s="9">
        <f t="shared" si="3"/>
        <v>226.8</v>
      </c>
      <c r="J52" s="27"/>
      <c r="K52" s="27"/>
      <c r="L52" s="27"/>
      <c r="M52" s="27"/>
    </row>
    <row r="53" spans="2:13" customFormat="1" ht="15" x14ac:dyDescent="0.25">
      <c r="B53" s="215" t="s">
        <v>73</v>
      </c>
      <c r="C53" s="9">
        <v>20957</v>
      </c>
      <c r="D53" s="9">
        <v>27030.38</v>
      </c>
      <c r="E53" s="9">
        <v>2800</v>
      </c>
      <c r="F53" s="9">
        <v>5425.87</v>
      </c>
      <c r="G53" s="9">
        <v>1749.79</v>
      </c>
      <c r="H53" s="9"/>
      <c r="I53" s="9">
        <f t="shared" si="3"/>
        <v>57963.040000000008</v>
      </c>
      <c r="J53" s="27"/>
      <c r="K53" s="27"/>
      <c r="L53" s="27"/>
      <c r="M53" s="27"/>
    </row>
    <row r="54" spans="2:13" customFormat="1" ht="15" x14ac:dyDescent="0.25">
      <c r="B54" s="213" t="s">
        <v>74</v>
      </c>
      <c r="C54" s="214">
        <v>2550</v>
      </c>
      <c r="D54" s="214">
        <v>6650</v>
      </c>
      <c r="E54" s="214">
        <v>131.6</v>
      </c>
      <c r="F54" s="214">
        <v>131.61000000000001</v>
      </c>
      <c r="G54" s="214">
        <v>19.989999999999998</v>
      </c>
      <c r="H54" s="214"/>
      <c r="I54" s="214">
        <f t="shared" si="3"/>
        <v>9483.2000000000007</v>
      </c>
      <c r="J54" s="27"/>
      <c r="K54" s="27"/>
      <c r="L54" s="27"/>
      <c r="M54" s="27"/>
    </row>
    <row r="55" spans="2:13" customFormat="1" ht="15" x14ac:dyDescent="0.25">
      <c r="B55" s="220" t="s">
        <v>197</v>
      </c>
      <c r="C55" s="221"/>
      <c r="D55" s="221"/>
      <c r="E55" s="221">
        <v>2665.2</v>
      </c>
      <c r="F55" s="221">
        <v>0</v>
      </c>
      <c r="G55" s="221"/>
      <c r="H55" s="221"/>
      <c r="I55" s="214">
        <f t="shared" si="3"/>
        <v>2665.2</v>
      </c>
      <c r="J55" s="27"/>
      <c r="K55" s="27"/>
      <c r="L55" s="27"/>
      <c r="M55" s="27"/>
    </row>
    <row r="56" spans="2:13" customFormat="1" ht="15.75" thickBot="1" x14ac:dyDescent="0.3">
      <c r="B56" s="216" t="s">
        <v>198</v>
      </c>
      <c r="C56" s="217">
        <v>0</v>
      </c>
      <c r="D56" s="217">
        <v>4999.8999999999996</v>
      </c>
      <c r="E56" s="217">
        <v>0</v>
      </c>
      <c r="F56" s="217">
        <v>0</v>
      </c>
      <c r="G56" s="217">
        <v>0</v>
      </c>
      <c r="H56" s="217"/>
      <c r="I56" s="217">
        <f t="shared" si="3"/>
        <v>4999.8999999999996</v>
      </c>
      <c r="J56" s="27"/>
      <c r="K56" s="27"/>
      <c r="L56" s="27"/>
      <c r="M56" s="27"/>
    </row>
    <row r="57" spans="2:13" customFormat="1" ht="22.5" customHeight="1" thickTop="1" x14ac:dyDescent="0.25">
      <c r="B57" s="218" t="s">
        <v>137</v>
      </c>
      <c r="C57" s="208">
        <f t="shared" ref="C57:I57" si="5">C44+C45+C46+C54+C56+C55</f>
        <v>338484.49000000005</v>
      </c>
      <c r="D57" s="208">
        <f t="shared" si="5"/>
        <v>426348.57</v>
      </c>
      <c r="E57" s="208">
        <f t="shared" si="5"/>
        <v>81232.040000000008</v>
      </c>
      <c r="F57" s="208">
        <f t="shared" si="5"/>
        <v>81192.72</v>
      </c>
      <c r="G57" s="208">
        <f t="shared" si="5"/>
        <v>86617.000000000015</v>
      </c>
      <c r="H57" s="208">
        <f t="shared" si="5"/>
        <v>661.5</v>
      </c>
      <c r="I57" s="208">
        <f t="shared" si="5"/>
        <v>1014536.32</v>
      </c>
      <c r="J57" s="27"/>
      <c r="K57" s="152"/>
      <c r="L57" s="27"/>
      <c r="M57" s="27"/>
    </row>
    <row r="58" spans="2:13" customFormat="1" ht="15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 customFormat="1" ht="15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customFormat="1" ht="18" x14ac:dyDescent="0.25">
      <c r="B60" s="196" t="s">
        <v>199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customFormat="1" ht="7.5" customHeight="1" x14ac:dyDescent="0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s="131" customFormat="1" ht="17.25" customHeight="1" thickBot="1" x14ac:dyDescent="0.3">
      <c r="B62" s="674" t="s">
        <v>141</v>
      </c>
      <c r="C62" s="674"/>
      <c r="D62" s="674"/>
      <c r="E62" s="674"/>
    </row>
    <row r="63" spans="2:13" customFormat="1" ht="15.75" thickTop="1" x14ac:dyDescent="0.25">
      <c r="B63" s="675" t="s">
        <v>183</v>
      </c>
      <c r="C63" s="675"/>
      <c r="D63" s="675"/>
      <c r="E63" s="198">
        <v>3349.86</v>
      </c>
      <c r="F63" s="27"/>
      <c r="G63" s="27"/>
      <c r="H63" s="27"/>
      <c r="I63" s="27"/>
      <c r="J63" s="27"/>
      <c r="K63" s="27"/>
      <c r="L63" s="27"/>
      <c r="M63" s="27"/>
    </row>
    <row r="64" spans="2:13" customFormat="1" ht="15" x14ac:dyDescent="0.25">
      <c r="B64" s="676" t="s">
        <v>184</v>
      </c>
      <c r="C64" s="676"/>
      <c r="D64" s="676"/>
      <c r="E64" s="9">
        <v>34400.9</v>
      </c>
      <c r="F64" s="27"/>
      <c r="G64" s="27"/>
      <c r="H64" s="27"/>
      <c r="I64" s="27"/>
      <c r="J64" s="27"/>
      <c r="K64" s="27"/>
      <c r="L64" s="27"/>
      <c r="M64" s="27"/>
    </row>
    <row r="65" spans="2:13" customFormat="1" ht="15" x14ac:dyDescent="0.25">
      <c r="B65" s="676" t="s">
        <v>185</v>
      </c>
      <c r="C65" s="676"/>
      <c r="D65" s="676"/>
      <c r="E65" s="9">
        <v>8069</v>
      </c>
      <c r="F65" s="27"/>
      <c r="G65" s="27"/>
      <c r="H65" s="27"/>
      <c r="I65" s="27"/>
      <c r="J65" s="27"/>
      <c r="K65" s="27"/>
      <c r="L65" s="27"/>
      <c r="M65" s="27"/>
    </row>
    <row r="66" spans="2:13" s="124" customFormat="1" x14ac:dyDescent="0.25">
      <c r="B66" s="669" t="s">
        <v>145</v>
      </c>
      <c r="C66" s="669"/>
      <c r="D66" s="669"/>
      <c r="E66" s="199">
        <v>104458.03</v>
      </c>
    </row>
    <row r="67" spans="2:13" customFormat="1" ht="15" x14ac:dyDescent="0.25">
      <c r="B67" s="222" t="s">
        <v>187</v>
      </c>
      <c r="C67" s="223"/>
      <c r="D67" s="224"/>
      <c r="E67" s="225">
        <v>4221</v>
      </c>
      <c r="F67" s="27"/>
      <c r="G67" s="27"/>
      <c r="H67" s="27"/>
      <c r="I67" s="27"/>
      <c r="J67" s="27"/>
      <c r="K67" s="27"/>
      <c r="L67" s="27"/>
      <c r="M67" s="27"/>
    </row>
    <row r="68" spans="2:13" customFormat="1" ht="15" x14ac:dyDescent="0.25">
      <c r="B68" s="222" t="s">
        <v>200</v>
      </c>
      <c r="C68" s="223"/>
      <c r="D68" s="224"/>
      <c r="E68" s="225">
        <v>43596.35</v>
      </c>
      <c r="F68" s="27"/>
      <c r="G68" s="27"/>
      <c r="H68" s="27"/>
      <c r="I68" s="27"/>
      <c r="J68" s="27"/>
      <c r="K68" s="27"/>
      <c r="L68" s="27"/>
      <c r="M68" s="27"/>
    </row>
    <row r="69" spans="2:13" customFormat="1" ht="15.75" thickBot="1" x14ac:dyDescent="0.3">
      <c r="B69" s="226" t="s">
        <v>147</v>
      </c>
      <c r="C69" s="128"/>
      <c r="D69" s="129"/>
      <c r="E69" s="227">
        <v>13162.94</v>
      </c>
      <c r="F69" s="27"/>
      <c r="G69" s="27"/>
      <c r="H69" s="27"/>
      <c r="I69" s="27"/>
      <c r="J69" s="27"/>
      <c r="K69" s="27"/>
      <c r="L69" s="27"/>
      <c r="M69" s="27"/>
    </row>
    <row r="70" spans="2:13" customFormat="1" ht="18.75" customHeight="1" thickTop="1" x14ac:dyDescent="0.25">
      <c r="B70" s="680" t="s">
        <v>137</v>
      </c>
      <c r="C70" s="680"/>
      <c r="D70" s="680"/>
      <c r="E70" s="208">
        <f>SUM(E63:E69)</f>
        <v>211258.08000000002</v>
      </c>
      <c r="F70" s="27"/>
      <c r="G70" s="27"/>
      <c r="H70" s="27"/>
      <c r="I70" s="27"/>
      <c r="J70" s="27"/>
      <c r="K70" s="27"/>
      <c r="L70" s="27"/>
      <c r="M70" s="27"/>
    </row>
    <row r="71" spans="2:13" customFormat="1" ht="9" customHeight="1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s="133" customFormat="1" ht="87" customHeight="1" thickBot="1" x14ac:dyDescent="0.3">
      <c r="B72" s="197" t="s">
        <v>58</v>
      </c>
      <c r="C72" s="209" t="s">
        <v>189</v>
      </c>
      <c r="D72" s="209" t="s">
        <v>190</v>
      </c>
      <c r="E72" s="209" t="s">
        <v>191</v>
      </c>
      <c r="F72" s="209" t="s">
        <v>192</v>
      </c>
      <c r="G72" s="209" t="s">
        <v>193</v>
      </c>
      <c r="H72" s="209" t="s">
        <v>194</v>
      </c>
      <c r="I72" s="210" t="s">
        <v>137</v>
      </c>
    </row>
    <row r="73" spans="2:13" customFormat="1" ht="15.75" thickTop="1" x14ac:dyDescent="0.25">
      <c r="B73" s="211" t="s">
        <v>65</v>
      </c>
      <c r="C73" s="212">
        <v>177666.32</v>
      </c>
      <c r="D73" s="212">
        <v>154245</v>
      </c>
      <c r="E73" s="212">
        <v>33366</v>
      </c>
      <c r="F73" s="212">
        <v>30947</v>
      </c>
      <c r="G73" s="212">
        <v>56100</v>
      </c>
      <c r="H73" s="212"/>
      <c r="I73" s="212">
        <f t="shared" ref="I73:I83" si="6">C73+D73+E73+F73+G73+H73</f>
        <v>452324.32</v>
      </c>
      <c r="J73" s="27"/>
      <c r="K73" s="27"/>
      <c r="L73" s="27"/>
      <c r="M73" s="27"/>
    </row>
    <row r="74" spans="2:13" customFormat="1" ht="15" x14ac:dyDescent="0.25">
      <c r="B74" s="213" t="s">
        <v>66</v>
      </c>
      <c r="C74" s="214">
        <v>62595.99</v>
      </c>
      <c r="D74" s="214">
        <v>54123</v>
      </c>
      <c r="E74" s="214">
        <v>11637.52</v>
      </c>
      <c r="F74" s="214">
        <v>10805</v>
      </c>
      <c r="G74" s="214">
        <v>19610</v>
      </c>
      <c r="H74" s="214"/>
      <c r="I74" s="214">
        <f t="shared" si="6"/>
        <v>158771.51</v>
      </c>
      <c r="J74" s="27"/>
      <c r="K74" s="27"/>
      <c r="L74" s="27"/>
      <c r="M74" s="27"/>
    </row>
    <row r="75" spans="2:13" customFormat="1" ht="15" x14ac:dyDescent="0.25">
      <c r="B75" s="213" t="s">
        <v>67</v>
      </c>
      <c r="C75" s="214">
        <f t="shared" ref="C75:H75" si="7">SUM(C76:C82)</f>
        <v>22661.33</v>
      </c>
      <c r="D75" s="214">
        <f t="shared" si="7"/>
        <v>79272.23</v>
      </c>
      <c r="E75" s="214">
        <f t="shared" si="7"/>
        <v>74231.010000000009</v>
      </c>
      <c r="F75" s="214">
        <f t="shared" si="7"/>
        <v>126381.58</v>
      </c>
      <c r="G75" s="214">
        <f t="shared" si="7"/>
        <v>10930</v>
      </c>
      <c r="H75" s="214">
        <f t="shared" si="7"/>
        <v>88.6</v>
      </c>
      <c r="I75" s="214">
        <f t="shared" si="6"/>
        <v>313564.75</v>
      </c>
      <c r="J75" s="27"/>
      <c r="K75" s="27"/>
      <c r="L75" s="27"/>
      <c r="M75" s="27"/>
    </row>
    <row r="76" spans="2:13" customFormat="1" ht="15" x14ac:dyDescent="0.25">
      <c r="B76" s="215" t="s">
        <v>89</v>
      </c>
      <c r="C76" s="9">
        <v>96.15</v>
      </c>
      <c r="D76" s="9">
        <v>96.16</v>
      </c>
      <c r="E76" s="9">
        <v>0</v>
      </c>
      <c r="F76" s="9">
        <v>0</v>
      </c>
      <c r="G76" s="9">
        <v>0</v>
      </c>
      <c r="H76" s="9"/>
      <c r="I76" s="9">
        <f t="shared" si="6"/>
        <v>192.31</v>
      </c>
      <c r="J76" s="27"/>
      <c r="K76" s="27"/>
      <c r="L76" s="27"/>
      <c r="M76" s="27"/>
    </row>
    <row r="77" spans="2:13" customFormat="1" ht="15" x14ac:dyDescent="0.25">
      <c r="B77" s="215" t="s">
        <v>68</v>
      </c>
      <c r="C77" s="9">
        <v>6760</v>
      </c>
      <c r="D77" s="9">
        <v>45900.89</v>
      </c>
      <c r="E77" s="9">
        <v>19050</v>
      </c>
      <c r="F77" s="9">
        <v>17050</v>
      </c>
      <c r="G77" s="9">
        <v>3250</v>
      </c>
      <c r="H77" s="9"/>
      <c r="I77" s="9">
        <f t="shared" si="6"/>
        <v>92010.89</v>
      </c>
      <c r="J77" s="27"/>
      <c r="K77" s="27"/>
      <c r="L77" s="27"/>
      <c r="M77" s="27"/>
    </row>
    <row r="78" spans="2:13" customFormat="1" ht="15" x14ac:dyDescent="0.25">
      <c r="B78" s="215" t="s">
        <v>69</v>
      </c>
      <c r="C78" s="9">
        <v>4326.09</v>
      </c>
      <c r="D78" s="9">
        <v>10472.48</v>
      </c>
      <c r="E78" s="9">
        <v>46776.57</v>
      </c>
      <c r="F78" s="9">
        <v>47649.58</v>
      </c>
      <c r="G78" s="9">
        <v>4580</v>
      </c>
      <c r="H78" s="9">
        <v>88.6</v>
      </c>
      <c r="I78" s="9">
        <f t="shared" si="6"/>
        <v>113893.32</v>
      </c>
      <c r="J78" s="27"/>
      <c r="K78" s="27"/>
      <c r="L78" s="27"/>
      <c r="M78" s="27"/>
    </row>
    <row r="79" spans="2:13" customFormat="1" ht="15" x14ac:dyDescent="0.25">
      <c r="B79" s="215" t="s">
        <v>70</v>
      </c>
      <c r="C79" s="9">
        <v>600</v>
      </c>
      <c r="D79" s="9">
        <v>0</v>
      </c>
      <c r="E79" s="9">
        <v>0</v>
      </c>
      <c r="F79" s="9">
        <v>0</v>
      </c>
      <c r="G79" s="9">
        <v>0</v>
      </c>
      <c r="H79" s="9"/>
      <c r="I79" s="9">
        <f t="shared" si="6"/>
        <v>600</v>
      </c>
      <c r="J79" s="27"/>
      <c r="K79" s="27"/>
      <c r="L79" s="27"/>
      <c r="M79" s="27"/>
    </row>
    <row r="80" spans="2:13" customFormat="1" ht="15" x14ac:dyDescent="0.25">
      <c r="B80" s="215" t="s">
        <v>71</v>
      </c>
      <c r="C80" s="9">
        <v>97.63</v>
      </c>
      <c r="D80" s="9">
        <v>1797.64</v>
      </c>
      <c r="E80" s="9">
        <v>2191</v>
      </c>
      <c r="F80" s="9">
        <v>40858.06</v>
      </c>
      <c r="G80" s="9">
        <v>0</v>
      </c>
      <c r="H80" s="9"/>
      <c r="I80" s="9">
        <f t="shared" si="6"/>
        <v>44944.329999999994</v>
      </c>
      <c r="J80" s="27"/>
      <c r="K80" s="27"/>
      <c r="L80" s="27"/>
      <c r="M80" s="27"/>
    </row>
    <row r="81" spans="2:13" customFormat="1" ht="15" x14ac:dyDescent="0.25">
      <c r="B81" s="215" t="s">
        <v>72</v>
      </c>
      <c r="C81" s="9">
        <v>12.6</v>
      </c>
      <c r="D81" s="9">
        <v>12.6</v>
      </c>
      <c r="E81" s="9">
        <v>493.44</v>
      </c>
      <c r="F81" s="9">
        <v>493.44</v>
      </c>
      <c r="G81" s="9">
        <v>0</v>
      </c>
      <c r="H81" s="9"/>
      <c r="I81" s="9">
        <f t="shared" si="6"/>
        <v>1012.0799999999999</v>
      </c>
      <c r="J81" s="27"/>
      <c r="K81" s="27"/>
      <c r="L81" s="27"/>
      <c r="M81" s="27"/>
    </row>
    <row r="82" spans="2:13" customFormat="1" ht="15" x14ac:dyDescent="0.25">
      <c r="B82" s="215" t="s">
        <v>73</v>
      </c>
      <c r="C82" s="9">
        <v>10768.86</v>
      </c>
      <c r="D82" s="9">
        <v>20992.46</v>
      </c>
      <c r="E82" s="9">
        <v>5720</v>
      </c>
      <c r="F82" s="9">
        <v>20330.5</v>
      </c>
      <c r="G82" s="9">
        <v>3100</v>
      </c>
      <c r="H82" s="9"/>
      <c r="I82" s="9">
        <f t="shared" si="6"/>
        <v>60911.82</v>
      </c>
      <c r="J82" s="27"/>
      <c r="K82" s="27"/>
      <c r="L82" s="27"/>
      <c r="M82" s="27"/>
    </row>
    <row r="83" spans="2:13" customFormat="1" ht="15.75" thickBot="1" x14ac:dyDescent="0.3">
      <c r="B83" s="216" t="s">
        <v>74</v>
      </c>
      <c r="C83" s="217">
        <v>927.48</v>
      </c>
      <c r="D83" s="217">
        <v>397</v>
      </c>
      <c r="E83" s="217">
        <v>154.47999999999999</v>
      </c>
      <c r="F83" s="217">
        <v>0</v>
      </c>
      <c r="G83" s="217">
        <v>0</v>
      </c>
      <c r="H83" s="217"/>
      <c r="I83" s="217">
        <f t="shared" si="6"/>
        <v>1478.96</v>
      </c>
      <c r="J83" s="27"/>
      <c r="K83" s="27"/>
      <c r="L83" s="27"/>
      <c r="M83" s="27"/>
    </row>
    <row r="84" spans="2:13" customFormat="1" ht="22.5" customHeight="1" thickTop="1" x14ac:dyDescent="0.25">
      <c r="B84" s="228" t="s">
        <v>137</v>
      </c>
      <c r="C84" s="229">
        <f t="shared" ref="C84:I84" si="8">C73+C74+C75+C83</f>
        <v>263851.12</v>
      </c>
      <c r="D84" s="229">
        <f t="shared" si="8"/>
        <v>288037.23</v>
      </c>
      <c r="E84" s="229">
        <f t="shared" si="8"/>
        <v>119389.01000000001</v>
      </c>
      <c r="F84" s="229">
        <f t="shared" si="8"/>
        <v>168133.58000000002</v>
      </c>
      <c r="G84" s="229">
        <f t="shared" si="8"/>
        <v>86640</v>
      </c>
      <c r="H84" s="229">
        <f t="shared" si="8"/>
        <v>88.6</v>
      </c>
      <c r="I84" s="229">
        <f t="shared" si="8"/>
        <v>926139.54</v>
      </c>
      <c r="J84" s="27"/>
      <c r="K84" s="27"/>
      <c r="L84" s="27"/>
      <c r="M84" s="27"/>
    </row>
    <row r="85" spans="2:13" customFormat="1" ht="15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customFormat="1" ht="18" x14ac:dyDescent="0.25">
      <c r="B86" s="196" t="s">
        <v>201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customFormat="1" ht="7.5" customHeight="1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customFormat="1" ht="16.5" customHeight="1" thickBot="1" x14ac:dyDescent="0.3">
      <c r="B88" s="674" t="s">
        <v>141</v>
      </c>
      <c r="C88" s="674"/>
      <c r="D88" s="674"/>
      <c r="E88" s="674"/>
      <c r="F88" s="27"/>
      <c r="G88" s="27"/>
      <c r="H88" s="27"/>
      <c r="I88" s="27"/>
      <c r="J88" s="27"/>
      <c r="K88" s="27"/>
      <c r="L88" s="27"/>
      <c r="M88" s="27"/>
    </row>
    <row r="89" spans="2:13" customFormat="1" ht="15.75" thickTop="1" x14ac:dyDescent="0.25">
      <c r="B89" s="675" t="s">
        <v>183</v>
      </c>
      <c r="C89" s="675"/>
      <c r="D89" s="675"/>
      <c r="E89" s="198">
        <v>1328.38</v>
      </c>
      <c r="F89" s="27"/>
      <c r="G89" s="27"/>
      <c r="H89" s="27"/>
      <c r="I89" s="27"/>
      <c r="J89" s="27"/>
      <c r="K89" s="27"/>
      <c r="L89" s="27"/>
      <c r="M89" s="27"/>
    </row>
    <row r="90" spans="2:13" customFormat="1" ht="15" x14ac:dyDescent="0.25">
      <c r="B90" s="676" t="s">
        <v>184</v>
      </c>
      <c r="C90" s="676"/>
      <c r="D90" s="676"/>
      <c r="E90" s="9">
        <v>11690.2</v>
      </c>
      <c r="F90" s="27"/>
      <c r="G90" s="27"/>
      <c r="H90" s="27"/>
      <c r="I90" s="27"/>
      <c r="J90" s="27"/>
      <c r="K90" s="27"/>
      <c r="L90" s="27"/>
      <c r="M90" s="27"/>
    </row>
    <row r="91" spans="2:13" customFormat="1" ht="15" x14ac:dyDescent="0.25">
      <c r="B91" s="676" t="s">
        <v>185</v>
      </c>
      <c r="C91" s="676"/>
      <c r="D91" s="676"/>
      <c r="E91" s="9">
        <v>13110.45</v>
      </c>
      <c r="F91" s="27"/>
      <c r="G91" s="27"/>
      <c r="H91" s="27"/>
      <c r="I91" s="27"/>
      <c r="J91" s="27"/>
      <c r="K91" s="27"/>
      <c r="L91" s="27"/>
      <c r="M91" s="27"/>
    </row>
    <row r="92" spans="2:13" s="124" customFormat="1" x14ac:dyDescent="0.25">
      <c r="B92" s="669" t="s">
        <v>145</v>
      </c>
      <c r="C92" s="669"/>
      <c r="D92" s="669"/>
      <c r="E92" s="199">
        <v>90516.88</v>
      </c>
    </row>
    <row r="93" spans="2:13" customFormat="1" ht="15" x14ac:dyDescent="0.25">
      <c r="B93" s="679" t="s">
        <v>54</v>
      </c>
      <c r="C93" s="679"/>
      <c r="D93" s="679"/>
      <c r="E93" s="225">
        <v>480.91</v>
      </c>
      <c r="F93" s="27"/>
      <c r="G93" s="27"/>
      <c r="H93" s="27"/>
      <c r="I93" s="27"/>
      <c r="J93" s="27"/>
      <c r="K93" s="27"/>
      <c r="L93" s="27"/>
      <c r="M93" s="27"/>
    </row>
    <row r="94" spans="2:13" customFormat="1" ht="15" x14ac:dyDescent="0.25">
      <c r="B94" s="230" t="s">
        <v>186</v>
      </c>
      <c r="C94" s="35"/>
      <c r="D94" s="231"/>
      <c r="E94" s="232">
        <v>1443.68</v>
      </c>
      <c r="F94" s="27"/>
      <c r="G94" s="27"/>
      <c r="H94" s="27"/>
      <c r="I94" s="27"/>
      <c r="J94" s="27"/>
      <c r="K94" s="27"/>
      <c r="L94" s="27"/>
      <c r="M94" s="27"/>
    </row>
    <row r="95" spans="2:13" customFormat="1" ht="15" x14ac:dyDescent="0.25">
      <c r="B95" s="672" t="s">
        <v>187</v>
      </c>
      <c r="C95" s="672"/>
      <c r="D95" s="672"/>
      <c r="E95" s="225">
        <v>1653.38</v>
      </c>
      <c r="F95" s="27"/>
      <c r="G95" s="27"/>
      <c r="H95" s="27"/>
      <c r="I95" s="27"/>
      <c r="J95" s="27"/>
      <c r="K95" s="27"/>
      <c r="L95" s="27"/>
      <c r="M95" s="27"/>
    </row>
    <row r="96" spans="2:13" customFormat="1" ht="15.75" thickBot="1" x14ac:dyDescent="0.3">
      <c r="B96" s="681" t="s">
        <v>147</v>
      </c>
      <c r="C96" s="681"/>
      <c r="D96" s="681"/>
      <c r="E96" s="227">
        <v>14919.05</v>
      </c>
      <c r="F96" s="27"/>
      <c r="G96" s="27"/>
      <c r="H96" s="27"/>
      <c r="I96" s="27"/>
      <c r="J96" s="27"/>
      <c r="K96" s="27"/>
      <c r="L96" s="27"/>
      <c r="M96" s="27"/>
    </row>
    <row r="97" spans="2:13" customFormat="1" ht="18" customHeight="1" thickTop="1" x14ac:dyDescent="0.25">
      <c r="B97" s="680" t="s">
        <v>137</v>
      </c>
      <c r="C97" s="680"/>
      <c r="D97" s="680"/>
      <c r="E97" s="208">
        <f>SUM(E89:E96)</f>
        <v>135142.93</v>
      </c>
      <c r="F97" s="27"/>
      <c r="G97" s="27"/>
      <c r="H97" s="27"/>
      <c r="I97" s="27"/>
      <c r="J97" s="27"/>
      <c r="K97" s="27"/>
      <c r="L97" s="27"/>
      <c r="M97" s="27"/>
    </row>
    <row r="99" spans="2:13" s="133" customFormat="1" ht="84.75" thickBot="1" x14ac:dyDescent="0.3">
      <c r="B99" s="197" t="s">
        <v>58</v>
      </c>
      <c r="C99" s="209" t="s">
        <v>189</v>
      </c>
      <c r="D99" s="209" t="s">
        <v>190</v>
      </c>
      <c r="E99" s="209" t="s">
        <v>191</v>
      </c>
      <c r="F99" s="209" t="s">
        <v>192</v>
      </c>
      <c r="G99" s="209" t="s">
        <v>193</v>
      </c>
      <c r="H99" s="209" t="s">
        <v>194</v>
      </c>
      <c r="I99" s="210" t="s">
        <v>137</v>
      </c>
    </row>
    <row r="100" spans="2:13" customFormat="1" ht="15.75" thickTop="1" x14ac:dyDescent="0.25">
      <c r="B100" s="211" t="s">
        <v>65</v>
      </c>
      <c r="C100" s="212">
        <v>223994.44</v>
      </c>
      <c r="D100" s="212">
        <v>307134.63</v>
      </c>
      <c r="E100" s="212">
        <v>28645.919999999998</v>
      </c>
      <c r="F100" s="212">
        <v>27975.03</v>
      </c>
      <c r="G100" s="212">
        <v>87343</v>
      </c>
      <c r="H100" s="212"/>
      <c r="I100" s="212">
        <f t="shared" ref="I100:I110" si="9">C100+D100+E100+F100+G100+H100</f>
        <v>675093.02000000014</v>
      </c>
      <c r="J100" s="27"/>
      <c r="K100" s="27"/>
      <c r="L100" s="27"/>
      <c r="M100" s="27"/>
    </row>
    <row r="101" spans="2:13" customFormat="1" ht="15" x14ac:dyDescent="0.25">
      <c r="B101" s="213" t="s">
        <v>66</v>
      </c>
      <c r="C101" s="214">
        <v>77423.48</v>
      </c>
      <c r="D101" s="214">
        <v>103735.98</v>
      </c>
      <c r="E101" s="214">
        <v>9811.08</v>
      </c>
      <c r="F101" s="214">
        <v>9552.08</v>
      </c>
      <c r="G101" s="214">
        <v>30276.83</v>
      </c>
      <c r="H101" s="214"/>
      <c r="I101" s="214">
        <f t="shared" si="9"/>
        <v>230799.44999999995</v>
      </c>
      <c r="J101" s="27"/>
      <c r="K101" s="27"/>
      <c r="L101" s="27"/>
      <c r="M101" s="27"/>
    </row>
    <row r="102" spans="2:13" customFormat="1" ht="15" x14ac:dyDescent="0.25">
      <c r="B102" s="213" t="s">
        <v>67</v>
      </c>
      <c r="C102" s="214">
        <f t="shared" ref="C102:H102" si="10">SUM(C103:C108)</f>
        <v>44407.759999999995</v>
      </c>
      <c r="D102" s="214">
        <f t="shared" si="10"/>
        <v>68597.8</v>
      </c>
      <c r="E102" s="214">
        <f t="shared" si="10"/>
        <v>48952.68</v>
      </c>
      <c r="F102" s="214">
        <f t="shared" si="10"/>
        <v>50463.75</v>
      </c>
      <c r="G102" s="214">
        <f t="shared" si="10"/>
        <v>16000</v>
      </c>
      <c r="H102" s="214">
        <f t="shared" si="10"/>
        <v>219.76</v>
      </c>
      <c r="I102" s="214">
        <f t="shared" si="9"/>
        <v>228641.75</v>
      </c>
      <c r="J102" s="27"/>
      <c r="K102" s="27"/>
      <c r="L102" s="27"/>
      <c r="M102" s="27"/>
    </row>
    <row r="103" spans="2:13" customFormat="1" ht="15" x14ac:dyDescent="0.25">
      <c r="B103" s="215" t="s">
        <v>89</v>
      </c>
      <c r="C103" s="9">
        <v>11.44</v>
      </c>
      <c r="D103" s="9">
        <v>9.36</v>
      </c>
      <c r="E103" s="9">
        <v>0</v>
      </c>
      <c r="F103" s="9">
        <v>0</v>
      </c>
      <c r="G103" s="9">
        <v>0</v>
      </c>
      <c r="H103" s="9"/>
      <c r="I103" s="9">
        <f t="shared" si="9"/>
        <v>20.799999999999997</v>
      </c>
      <c r="J103" s="27"/>
      <c r="K103" s="27"/>
      <c r="L103" s="27"/>
      <c r="M103" s="27"/>
    </row>
    <row r="104" spans="2:13" customFormat="1" ht="15" x14ac:dyDescent="0.25">
      <c r="B104" s="215" t="s">
        <v>68</v>
      </c>
      <c r="C104" s="9">
        <v>21751.43</v>
      </c>
      <c r="D104" s="9">
        <v>20534.28</v>
      </c>
      <c r="E104" s="9">
        <v>5810</v>
      </c>
      <c r="F104" s="9">
        <v>5810</v>
      </c>
      <c r="G104" s="9">
        <v>13130</v>
      </c>
      <c r="H104" s="9"/>
      <c r="I104" s="9">
        <f t="shared" si="9"/>
        <v>67035.709999999992</v>
      </c>
      <c r="J104" s="27"/>
      <c r="K104" s="27"/>
      <c r="L104" s="27"/>
      <c r="M104" s="27"/>
    </row>
    <row r="105" spans="2:13" customFormat="1" ht="15" x14ac:dyDescent="0.25">
      <c r="B105" s="215" t="s">
        <v>69</v>
      </c>
      <c r="C105" s="9">
        <v>7075.98</v>
      </c>
      <c r="D105" s="9">
        <v>15729.46</v>
      </c>
      <c r="E105" s="9">
        <v>40840.28</v>
      </c>
      <c r="F105" s="9">
        <v>42351.35</v>
      </c>
      <c r="G105" s="9">
        <v>1027</v>
      </c>
      <c r="H105" s="9">
        <v>219.76</v>
      </c>
      <c r="I105" s="9">
        <f t="shared" si="9"/>
        <v>107243.83</v>
      </c>
      <c r="J105" s="27"/>
      <c r="K105" s="27"/>
      <c r="L105" s="27"/>
      <c r="M105" s="27"/>
    </row>
    <row r="106" spans="2:13" customFormat="1" ht="15" x14ac:dyDescent="0.25">
      <c r="B106" s="215" t="s">
        <v>70</v>
      </c>
      <c r="C106" s="9">
        <v>1415</v>
      </c>
      <c r="D106" s="9">
        <v>2025.5</v>
      </c>
      <c r="E106" s="9">
        <v>0</v>
      </c>
      <c r="F106" s="9">
        <v>0</v>
      </c>
      <c r="G106" s="9">
        <v>0</v>
      </c>
      <c r="H106" s="9"/>
      <c r="I106" s="9">
        <f t="shared" si="9"/>
        <v>3440.5</v>
      </c>
      <c r="J106" s="27"/>
      <c r="K106" s="27"/>
      <c r="L106" s="27"/>
      <c r="M106" s="27"/>
    </row>
    <row r="107" spans="2:13" customFormat="1" ht="15" x14ac:dyDescent="0.25">
      <c r="B107" s="215" t="s">
        <v>71</v>
      </c>
      <c r="C107" s="9">
        <v>1834.11</v>
      </c>
      <c r="D107" s="9">
        <v>16105.84</v>
      </c>
      <c r="E107" s="9">
        <v>401.94</v>
      </c>
      <c r="F107" s="9">
        <v>401.94</v>
      </c>
      <c r="G107" s="9">
        <v>0</v>
      </c>
      <c r="H107" s="9"/>
      <c r="I107" s="9">
        <f t="shared" si="9"/>
        <v>18743.829999999998</v>
      </c>
      <c r="J107" s="27"/>
      <c r="K107" s="27"/>
      <c r="L107" s="27"/>
      <c r="M107" s="27"/>
    </row>
    <row r="108" spans="2:13" customFormat="1" ht="15" x14ac:dyDescent="0.25">
      <c r="B108" s="215" t="s">
        <v>73</v>
      </c>
      <c r="C108" s="9">
        <v>12319.8</v>
      </c>
      <c r="D108" s="9">
        <v>14193.36</v>
      </c>
      <c r="E108" s="9">
        <v>1900.46</v>
      </c>
      <c r="F108" s="9">
        <v>1900.46</v>
      </c>
      <c r="G108" s="9">
        <v>1843</v>
      </c>
      <c r="H108" s="9"/>
      <c r="I108" s="9">
        <f t="shared" si="9"/>
        <v>32157.079999999998</v>
      </c>
      <c r="J108" s="27"/>
      <c r="K108" s="27"/>
      <c r="L108" s="27"/>
      <c r="M108" s="27"/>
    </row>
    <row r="109" spans="2:13" customFormat="1" ht="15.75" thickBot="1" x14ac:dyDescent="0.3">
      <c r="B109" s="216" t="s">
        <v>74</v>
      </c>
      <c r="C109" s="217">
        <v>694.16</v>
      </c>
      <c r="D109" s="217">
        <v>2600.7399999999998</v>
      </c>
      <c r="E109" s="217">
        <v>5969.95</v>
      </c>
      <c r="F109" s="217">
        <v>6059.86</v>
      </c>
      <c r="G109" s="217">
        <v>292.17</v>
      </c>
      <c r="H109" s="217"/>
      <c r="I109" s="217">
        <f t="shared" si="9"/>
        <v>15616.88</v>
      </c>
      <c r="J109" s="27"/>
      <c r="K109" s="27"/>
      <c r="L109" s="27"/>
      <c r="M109" s="27"/>
    </row>
    <row r="110" spans="2:13" customFormat="1" ht="21" customHeight="1" thickTop="1" x14ac:dyDescent="0.25">
      <c r="B110" s="218" t="s">
        <v>137</v>
      </c>
      <c r="C110" s="208">
        <f t="shared" ref="C110:H110" si="11">C100+C101+C102+C109</f>
        <v>346519.83999999997</v>
      </c>
      <c r="D110" s="208">
        <f t="shared" si="11"/>
        <v>482069.14999999997</v>
      </c>
      <c r="E110" s="208">
        <f t="shared" si="11"/>
        <v>93379.62999999999</v>
      </c>
      <c r="F110" s="208">
        <f t="shared" si="11"/>
        <v>94050.72</v>
      </c>
      <c r="G110" s="208">
        <f t="shared" si="11"/>
        <v>133912.00000000003</v>
      </c>
      <c r="H110" s="208">
        <f t="shared" si="11"/>
        <v>219.76</v>
      </c>
      <c r="I110" s="208">
        <f t="shared" si="9"/>
        <v>1150151.1000000001</v>
      </c>
      <c r="J110" s="27"/>
      <c r="K110" s="27"/>
      <c r="L110" s="27"/>
      <c r="M110" s="27"/>
    </row>
    <row r="111" spans="2:13" customFormat="1" ht="15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customFormat="1" ht="15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customFormat="1" ht="15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customFormat="1" ht="18" x14ac:dyDescent="0.25">
      <c r="B114" s="196" t="s">
        <v>202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customFormat="1" ht="7.5" customHeight="1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customFormat="1" ht="22.5" customHeight="1" thickBot="1" x14ac:dyDescent="0.3">
      <c r="B116" s="674" t="s">
        <v>141</v>
      </c>
      <c r="C116" s="674"/>
      <c r="D116" s="674"/>
      <c r="E116" s="674"/>
      <c r="F116" s="27"/>
      <c r="G116" s="27"/>
      <c r="H116" s="27"/>
      <c r="I116" s="27"/>
      <c r="J116" s="27"/>
      <c r="K116" s="27"/>
      <c r="L116" s="27"/>
      <c r="M116" s="27"/>
    </row>
    <row r="117" spans="2:13" customFormat="1" ht="15.75" thickTop="1" x14ac:dyDescent="0.25">
      <c r="B117" s="675" t="s">
        <v>183</v>
      </c>
      <c r="C117" s="675"/>
      <c r="D117" s="675"/>
      <c r="E117" s="233">
        <v>18932.43</v>
      </c>
      <c r="F117" s="27"/>
      <c r="G117" s="27"/>
      <c r="H117" s="27"/>
      <c r="I117" s="27"/>
      <c r="J117" s="27"/>
      <c r="K117" s="27"/>
      <c r="L117" s="27"/>
      <c r="M117" s="27"/>
    </row>
    <row r="118" spans="2:13" customFormat="1" ht="15" x14ac:dyDescent="0.25">
      <c r="B118" s="676" t="s">
        <v>185</v>
      </c>
      <c r="C118" s="676"/>
      <c r="D118" s="676"/>
      <c r="E118" s="225">
        <v>22458.86</v>
      </c>
      <c r="F118" s="27"/>
      <c r="G118" s="27"/>
      <c r="H118" s="27"/>
      <c r="I118" s="27"/>
      <c r="J118" s="27"/>
      <c r="K118" s="27"/>
      <c r="L118" s="27"/>
      <c r="M118" s="27"/>
    </row>
    <row r="119" spans="2:13" customFormat="1" ht="15.75" thickBot="1" x14ac:dyDescent="0.3">
      <c r="B119" s="226" t="s">
        <v>186</v>
      </c>
      <c r="C119" s="128"/>
      <c r="D119" s="129"/>
      <c r="E119" s="227">
        <v>1662.35</v>
      </c>
      <c r="F119" s="27"/>
      <c r="G119" s="27"/>
      <c r="H119" s="27"/>
      <c r="I119" s="27"/>
      <c r="J119" s="27"/>
      <c r="K119" s="27"/>
      <c r="L119" s="27"/>
      <c r="M119" s="27"/>
    </row>
    <row r="120" spans="2:13" customFormat="1" ht="19.5" customHeight="1" thickTop="1" x14ac:dyDescent="0.25">
      <c r="B120" s="680" t="s">
        <v>137</v>
      </c>
      <c r="C120" s="680"/>
      <c r="D120" s="680"/>
      <c r="E120" s="234">
        <f>SUM(E117:E119)</f>
        <v>43053.64</v>
      </c>
      <c r="F120" s="27"/>
      <c r="G120" s="27"/>
      <c r="H120" s="27"/>
      <c r="I120" s="27"/>
      <c r="J120" s="27"/>
      <c r="K120" s="27"/>
      <c r="L120" s="27"/>
      <c r="M120" s="27"/>
    </row>
    <row r="121" spans="2:13" customFormat="1" ht="7.5" customHeight="1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s="133" customFormat="1" ht="84.75" thickBot="1" x14ac:dyDescent="0.3">
      <c r="B122" s="197" t="s">
        <v>58</v>
      </c>
      <c r="C122" s="209" t="s">
        <v>189</v>
      </c>
      <c r="D122" s="209" t="s">
        <v>190</v>
      </c>
      <c r="E122" s="209" t="s">
        <v>191</v>
      </c>
      <c r="F122" s="209" t="s">
        <v>192</v>
      </c>
      <c r="G122" s="209" t="s">
        <v>193</v>
      </c>
      <c r="H122" s="209" t="s">
        <v>194</v>
      </c>
      <c r="I122" s="210" t="s">
        <v>137</v>
      </c>
    </row>
    <row r="123" spans="2:13" customFormat="1" ht="15.75" thickTop="1" x14ac:dyDescent="0.25">
      <c r="B123" s="211" t="s">
        <v>65</v>
      </c>
      <c r="C123" s="212">
        <v>337348</v>
      </c>
      <c r="D123" s="212">
        <v>630089</v>
      </c>
      <c r="E123" s="212"/>
      <c r="F123" s="212"/>
      <c r="G123" s="212">
        <f>23181.4+144827.6</f>
        <v>168009</v>
      </c>
      <c r="H123" s="212"/>
      <c r="I123" s="212">
        <f t="shared" ref="I123:I132" si="12">C123+D123+E123+F123+G123+H123</f>
        <v>1135446</v>
      </c>
      <c r="J123" s="27"/>
      <c r="K123" s="27"/>
      <c r="L123" s="27"/>
      <c r="M123" s="27"/>
    </row>
    <row r="124" spans="2:13" customFormat="1" ht="15" x14ac:dyDescent="0.25">
      <c r="B124" s="213" t="s">
        <v>66</v>
      </c>
      <c r="C124" s="214">
        <v>121433</v>
      </c>
      <c r="D124" s="214">
        <v>226334</v>
      </c>
      <c r="E124" s="214"/>
      <c r="F124" s="214"/>
      <c r="G124" s="214">
        <v>58804</v>
      </c>
      <c r="H124" s="214"/>
      <c r="I124" s="214">
        <f t="shared" si="12"/>
        <v>406571</v>
      </c>
      <c r="J124" s="27"/>
      <c r="K124" s="27"/>
      <c r="L124" s="27"/>
      <c r="M124" s="27"/>
    </row>
    <row r="125" spans="2:13" customFormat="1" ht="15" x14ac:dyDescent="0.25">
      <c r="B125" s="213" t="s">
        <v>67</v>
      </c>
      <c r="C125" s="214">
        <f t="shared" ref="C125:H125" si="13">SUM(C126:C130)</f>
        <v>80481</v>
      </c>
      <c r="D125" s="214">
        <f t="shared" si="13"/>
        <v>198565.97999999998</v>
      </c>
      <c r="E125" s="214">
        <f t="shared" si="13"/>
        <v>56745</v>
      </c>
      <c r="F125" s="214">
        <f t="shared" si="13"/>
        <v>85116</v>
      </c>
      <c r="G125" s="214">
        <f t="shared" si="13"/>
        <v>22300</v>
      </c>
      <c r="H125" s="214">
        <f t="shared" si="13"/>
        <v>868.7</v>
      </c>
      <c r="I125" s="214">
        <f t="shared" si="12"/>
        <v>444076.68</v>
      </c>
      <c r="J125" s="27"/>
      <c r="K125" s="27"/>
      <c r="L125" s="27"/>
      <c r="M125" s="27"/>
    </row>
    <row r="126" spans="2:13" customFormat="1" ht="15" x14ac:dyDescent="0.25">
      <c r="B126" s="215" t="s">
        <v>68</v>
      </c>
      <c r="C126" s="9">
        <v>36412</v>
      </c>
      <c r="D126" s="9">
        <v>78057.78</v>
      </c>
      <c r="E126" s="9"/>
      <c r="F126" s="9"/>
      <c r="G126" s="9">
        <v>5230</v>
      </c>
      <c r="H126" s="9"/>
      <c r="I126" s="9">
        <f t="shared" si="12"/>
        <v>119699.78</v>
      </c>
      <c r="J126" s="27"/>
      <c r="K126" s="27"/>
      <c r="L126" s="27"/>
      <c r="M126" s="27"/>
    </row>
    <row r="127" spans="2:13" customFormat="1" ht="15" x14ac:dyDescent="0.25">
      <c r="B127" s="215" t="s">
        <v>69</v>
      </c>
      <c r="C127" s="9">
        <v>11499</v>
      </c>
      <c r="D127" s="9">
        <v>29648.2</v>
      </c>
      <c r="E127" s="9"/>
      <c r="F127" s="9"/>
      <c r="G127" s="9">
        <v>700</v>
      </c>
      <c r="H127" s="9">
        <v>868.7</v>
      </c>
      <c r="I127" s="9">
        <f t="shared" si="12"/>
        <v>42715.899999999994</v>
      </c>
      <c r="J127" s="27"/>
      <c r="K127" s="27"/>
      <c r="L127" s="27"/>
      <c r="M127" s="27"/>
    </row>
    <row r="128" spans="2:13" customFormat="1" ht="15" x14ac:dyDescent="0.25">
      <c r="B128" s="215" t="s">
        <v>71</v>
      </c>
      <c r="C128" s="9">
        <v>4030</v>
      </c>
      <c r="D128" s="9">
        <v>14960</v>
      </c>
      <c r="E128" s="9"/>
      <c r="F128" s="9"/>
      <c r="G128" s="9">
        <v>10820</v>
      </c>
      <c r="H128" s="9"/>
      <c r="I128" s="9">
        <f t="shared" si="12"/>
        <v>29810</v>
      </c>
      <c r="J128" s="27"/>
      <c r="K128" s="27"/>
      <c r="L128" s="27"/>
      <c r="M128" s="27"/>
    </row>
    <row r="129" spans="2:13" customFormat="1" ht="15" x14ac:dyDescent="0.25">
      <c r="B129" s="215" t="s">
        <v>203</v>
      </c>
      <c r="C129" s="9">
        <v>1400</v>
      </c>
      <c r="D129" s="9">
        <v>41800</v>
      </c>
      <c r="E129" s="9"/>
      <c r="F129" s="9"/>
      <c r="G129" s="9">
        <v>0</v>
      </c>
      <c r="H129" s="9"/>
      <c r="I129" s="9">
        <f t="shared" si="12"/>
        <v>43200</v>
      </c>
      <c r="J129" s="27"/>
      <c r="K129" s="27"/>
      <c r="L129" s="27"/>
      <c r="M129" s="27"/>
    </row>
    <row r="130" spans="2:13" customFormat="1" ht="15" x14ac:dyDescent="0.25">
      <c r="B130" s="215" t="s">
        <v>73</v>
      </c>
      <c r="C130" s="9">
        <v>27140</v>
      </c>
      <c r="D130" s="9">
        <v>34100</v>
      </c>
      <c r="E130" s="9">
        <v>56745</v>
      </c>
      <c r="F130" s="9">
        <v>85116</v>
      </c>
      <c r="G130" s="9">
        <v>5550</v>
      </c>
      <c r="H130" s="9"/>
      <c r="I130" s="9">
        <f t="shared" si="12"/>
        <v>208651</v>
      </c>
      <c r="J130" s="27"/>
      <c r="K130" s="27"/>
      <c r="L130" s="27"/>
      <c r="M130" s="27"/>
    </row>
    <row r="131" spans="2:13" customFormat="1" ht="15.75" thickBot="1" x14ac:dyDescent="0.3">
      <c r="B131" s="216" t="s">
        <v>74</v>
      </c>
      <c r="C131" s="217">
        <v>1716.2</v>
      </c>
      <c r="D131" s="217">
        <v>5608</v>
      </c>
      <c r="E131" s="217"/>
      <c r="F131" s="217"/>
      <c r="G131" s="217">
        <v>850</v>
      </c>
      <c r="H131" s="217">
        <v>182.6</v>
      </c>
      <c r="I131" s="217">
        <f t="shared" si="12"/>
        <v>8356.7999999999993</v>
      </c>
      <c r="J131" s="27"/>
      <c r="K131" s="27"/>
      <c r="L131" s="27"/>
      <c r="M131" s="27"/>
    </row>
    <row r="132" spans="2:13" customFormat="1" ht="15.75" customHeight="1" thickTop="1" x14ac:dyDescent="0.25">
      <c r="B132" s="218" t="s">
        <v>137</v>
      </c>
      <c r="C132" s="208">
        <f t="shared" ref="C132:H132" si="14">C123+C124+C125+C131</f>
        <v>540978.19999999995</v>
      </c>
      <c r="D132" s="208">
        <f t="shared" si="14"/>
        <v>1060596.98</v>
      </c>
      <c r="E132" s="208">
        <f t="shared" si="14"/>
        <v>56745</v>
      </c>
      <c r="F132" s="208">
        <f t="shared" si="14"/>
        <v>85116</v>
      </c>
      <c r="G132" s="208">
        <f t="shared" si="14"/>
        <v>249963</v>
      </c>
      <c r="H132" s="208">
        <f t="shared" si="14"/>
        <v>1051.3</v>
      </c>
      <c r="I132" s="208">
        <f t="shared" si="12"/>
        <v>1994450.48</v>
      </c>
      <c r="J132" s="27"/>
      <c r="K132" s="27"/>
      <c r="L132" s="27"/>
      <c r="M132" s="27"/>
    </row>
    <row r="133" spans="2:13" customFormat="1" ht="15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customFormat="1" ht="18" x14ac:dyDescent="0.25">
      <c r="B134" s="196" t="s">
        <v>204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customFormat="1" ht="7.5" customHeight="1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customFormat="1" ht="19.5" customHeight="1" thickBot="1" x14ac:dyDescent="0.3">
      <c r="B136" s="674" t="s">
        <v>141</v>
      </c>
      <c r="C136" s="674"/>
      <c r="D136" s="674"/>
      <c r="E136" s="674"/>
      <c r="F136" s="27"/>
      <c r="G136" s="27"/>
      <c r="H136" s="27"/>
      <c r="I136" s="27"/>
      <c r="J136" s="27"/>
      <c r="K136" s="27"/>
      <c r="L136" s="27"/>
      <c r="M136" s="27"/>
    </row>
    <row r="137" spans="2:13" customFormat="1" ht="15.75" thickTop="1" x14ac:dyDescent="0.25">
      <c r="B137" s="675" t="s">
        <v>183</v>
      </c>
      <c r="C137" s="675"/>
      <c r="D137" s="675"/>
      <c r="E137" s="233">
        <v>6017.01</v>
      </c>
      <c r="F137" s="27"/>
      <c r="G137" s="27"/>
      <c r="H137" s="27"/>
      <c r="I137" s="27"/>
      <c r="J137" s="27"/>
      <c r="K137" s="27"/>
      <c r="L137" s="27"/>
      <c r="M137" s="27"/>
    </row>
    <row r="138" spans="2:13" customFormat="1" ht="15" x14ac:dyDescent="0.25">
      <c r="B138" s="676" t="s">
        <v>184</v>
      </c>
      <c r="C138" s="676"/>
      <c r="D138" s="676"/>
      <c r="E138" s="225">
        <v>9267.51</v>
      </c>
      <c r="F138" s="27"/>
      <c r="G138" s="27"/>
      <c r="H138" s="27"/>
      <c r="I138" s="27"/>
      <c r="J138" s="27"/>
      <c r="K138" s="27"/>
      <c r="L138" s="27"/>
      <c r="M138" s="27"/>
    </row>
    <row r="139" spans="2:13" customFormat="1" ht="15" x14ac:dyDescent="0.25">
      <c r="B139" s="676" t="s">
        <v>185</v>
      </c>
      <c r="C139" s="676"/>
      <c r="D139" s="676"/>
      <c r="E139" s="225">
        <v>5320.1</v>
      </c>
      <c r="F139" s="27"/>
      <c r="G139" s="27"/>
      <c r="H139" s="27"/>
      <c r="I139" s="27"/>
      <c r="J139" s="27"/>
      <c r="K139" s="27"/>
      <c r="L139" s="27"/>
      <c r="M139" s="27"/>
    </row>
    <row r="140" spans="2:13" s="124" customFormat="1" x14ac:dyDescent="0.25">
      <c r="B140" s="669" t="s">
        <v>145</v>
      </c>
      <c r="C140" s="669"/>
      <c r="D140" s="669"/>
      <c r="E140" s="199">
        <v>61346.559999999998</v>
      </c>
    </row>
    <row r="141" spans="2:13" s="124" customFormat="1" x14ac:dyDescent="0.25">
      <c r="B141" s="204" t="s">
        <v>205</v>
      </c>
      <c r="C141" s="205"/>
      <c r="D141" s="206"/>
      <c r="E141" s="199">
        <v>0</v>
      </c>
    </row>
    <row r="142" spans="2:13" s="124" customFormat="1" x14ac:dyDescent="0.25">
      <c r="B142" s="669" t="s">
        <v>186</v>
      </c>
      <c r="C142" s="669"/>
      <c r="D142" s="669"/>
      <c r="E142" s="199">
        <v>0</v>
      </c>
    </row>
    <row r="143" spans="2:13" s="124" customFormat="1" x14ac:dyDescent="0.25">
      <c r="B143" s="669" t="s">
        <v>187</v>
      </c>
      <c r="C143" s="669"/>
      <c r="D143" s="669"/>
      <c r="E143" s="203">
        <v>476.4</v>
      </c>
    </row>
    <row r="144" spans="2:13" customFormat="1" ht="15.75" thickBot="1" x14ac:dyDescent="0.3">
      <c r="B144" s="678" t="s">
        <v>147</v>
      </c>
      <c r="C144" s="678"/>
      <c r="D144" s="678"/>
      <c r="E144" s="227">
        <v>9025.1</v>
      </c>
      <c r="F144" s="27"/>
      <c r="G144" s="27"/>
      <c r="H144" s="27"/>
      <c r="I144" s="27"/>
      <c r="J144" s="27"/>
      <c r="K144" s="27"/>
      <c r="L144" s="27"/>
      <c r="M144" s="27"/>
    </row>
    <row r="145" spans="2:13" customFormat="1" ht="19.5" customHeight="1" thickTop="1" x14ac:dyDescent="0.25">
      <c r="B145" s="680" t="s">
        <v>137</v>
      </c>
      <c r="C145" s="680"/>
      <c r="D145" s="680"/>
      <c r="E145" s="234">
        <f>SUM(E137:E144)</f>
        <v>91452.68</v>
      </c>
      <c r="F145" s="27"/>
      <c r="G145" s="27"/>
      <c r="H145" s="27"/>
      <c r="I145" s="27"/>
      <c r="J145" s="27"/>
      <c r="K145" s="27"/>
      <c r="L145" s="27"/>
      <c r="M145" s="27"/>
    </row>
    <row r="146" spans="2:13" customFormat="1" ht="7.5" customHeight="1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s="133" customFormat="1" ht="84.75" thickBot="1" x14ac:dyDescent="0.3">
      <c r="B147" s="197" t="s">
        <v>58</v>
      </c>
      <c r="C147" s="209" t="s">
        <v>189</v>
      </c>
      <c r="D147" s="209" t="s">
        <v>190</v>
      </c>
      <c r="E147" s="209" t="s">
        <v>191</v>
      </c>
      <c r="F147" s="209" t="s">
        <v>192</v>
      </c>
      <c r="G147" s="209" t="s">
        <v>193</v>
      </c>
      <c r="H147" s="209" t="s">
        <v>194</v>
      </c>
      <c r="I147" s="210" t="s">
        <v>137</v>
      </c>
    </row>
    <row r="148" spans="2:13" customFormat="1" ht="15.75" thickTop="1" x14ac:dyDescent="0.25">
      <c r="B148" s="211" t="s">
        <v>65</v>
      </c>
      <c r="C148" s="212">
        <v>108341</v>
      </c>
      <c r="D148" s="212">
        <v>197708.59</v>
      </c>
      <c r="E148" s="212">
        <v>23490</v>
      </c>
      <c r="F148" s="212">
        <v>27489</v>
      </c>
      <c r="G148" s="212">
        <v>28500</v>
      </c>
      <c r="H148" s="212"/>
      <c r="I148" s="212">
        <f t="shared" ref="I148:I154" si="15">C148+D148+E148+F148+G148+H148</f>
        <v>385528.58999999997</v>
      </c>
      <c r="J148" s="27"/>
      <c r="K148" s="27"/>
      <c r="L148" s="27"/>
      <c r="M148" s="27"/>
    </row>
    <row r="149" spans="2:13" customFormat="1" ht="15" x14ac:dyDescent="0.25">
      <c r="B149" s="213" t="s">
        <v>66</v>
      </c>
      <c r="C149" s="214">
        <v>37866.5</v>
      </c>
      <c r="D149" s="214">
        <v>69033.509999999995</v>
      </c>
      <c r="E149" s="214">
        <v>8635.06</v>
      </c>
      <c r="F149" s="214">
        <v>9654.2199999999993</v>
      </c>
      <c r="G149" s="214">
        <v>9960</v>
      </c>
      <c r="H149" s="214"/>
      <c r="I149" s="214">
        <f t="shared" si="15"/>
        <v>135149.28999999998</v>
      </c>
      <c r="J149" s="27"/>
      <c r="K149" s="27"/>
      <c r="L149" s="27"/>
      <c r="M149" s="27"/>
    </row>
    <row r="150" spans="2:13" customFormat="1" ht="15" x14ac:dyDescent="0.25">
      <c r="B150" s="213" t="s">
        <v>67</v>
      </c>
      <c r="C150" s="214">
        <f t="shared" ref="C150:H150" si="16">SUM(C151:C156)</f>
        <v>28173</v>
      </c>
      <c r="D150" s="214">
        <f t="shared" si="16"/>
        <v>96500.450000000012</v>
      </c>
      <c r="E150" s="214">
        <f t="shared" si="16"/>
        <v>9114</v>
      </c>
      <c r="F150" s="214">
        <f t="shared" si="16"/>
        <v>66992.41</v>
      </c>
      <c r="G150" s="214">
        <f t="shared" si="16"/>
        <v>6778</v>
      </c>
      <c r="H150" s="214">
        <f t="shared" si="16"/>
        <v>415.7</v>
      </c>
      <c r="I150" s="214">
        <f t="shared" si="15"/>
        <v>207973.56000000003</v>
      </c>
      <c r="J150" s="27"/>
      <c r="K150" s="27"/>
      <c r="L150" s="27"/>
      <c r="M150" s="27"/>
    </row>
    <row r="151" spans="2:13" customFormat="1" ht="15" x14ac:dyDescent="0.25">
      <c r="B151" s="215" t="s">
        <v>68</v>
      </c>
      <c r="C151" s="9">
        <v>20767</v>
      </c>
      <c r="D151" s="9">
        <v>28687.16</v>
      </c>
      <c r="E151" s="9">
        <v>5322</v>
      </c>
      <c r="F151" s="9">
        <v>4125</v>
      </c>
      <c r="G151" s="9">
        <v>5820</v>
      </c>
      <c r="H151" s="9"/>
      <c r="I151" s="9">
        <f t="shared" si="15"/>
        <v>64721.16</v>
      </c>
      <c r="J151" s="27"/>
      <c r="K151" s="27"/>
      <c r="L151" s="27"/>
      <c r="M151" s="27"/>
    </row>
    <row r="152" spans="2:13" customFormat="1" ht="15" x14ac:dyDescent="0.25">
      <c r="B152" s="215" t="s">
        <v>69</v>
      </c>
      <c r="C152" s="9">
        <v>1376</v>
      </c>
      <c r="D152" s="9">
        <v>31752.25</v>
      </c>
      <c r="E152" s="9">
        <v>2212</v>
      </c>
      <c r="F152" s="9">
        <v>56967.41</v>
      </c>
      <c r="G152" s="9">
        <v>260</v>
      </c>
      <c r="H152" s="9">
        <v>415.7</v>
      </c>
      <c r="I152" s="9">
        <f t="shared" si="15"/>
        <v>92983.360000000001</v>
      </c>
      <c r="J152" s="27"/>
      <c r="K152" s="27"/>
      <c r="L152" s="27"/>
      <c r="M152" s="27"/>
    </row>
    <row r="153" spans="2:13" customFormat="1" ht="15" x14ac:dyDescent="0.25">
      <c r="B153" s="215" t="s">
        <v>70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/>
      <c r="I153" s="9">
        <f t="shared" si="15"/>
        <v>0</v>
      </c>
      <c r="J153" s="27"/>
      <c r="K153" s="27"/>
      <c r="L153" s="27"/>
      <c r="M153" s="27"/>
    </row>
    <row r="154" spans="2:13" customFormat="1" ht="15" x14ac:dyDescent="0.25">
      <c r="B154" s="215" t="s">
        <v>71</v>
      </c>
      <c r="C154" s="9">
        <v>600</v>
      </c>
      <c r="D154" s="9">
        <v>22091.040000000001</v>
      </c>
      <c r="E154" s="9">
        <v>0</v>
      </c>
      <c r="F154" s="9">
        <v>3200</v>
      </c>
      <c r="G154" s="9">
        <v>0</v>
      </c>
      <c r="H154" s="9"/>
      <c r="I154" s="9">
        <f t="shared" si="15"/>
        <v>25891.040000000001</v>
      </c>
      <c r="J154" s="27"/>
      <c r="K154" s="27"/>
      <c r="L154" s="27"/>
      <c r="M154" s="27"/>
    </row>
    <row r="155" spans="2:13" customFormat="1" ht="15" x14ac:dyDescent="0.25">
      <c r="B155" s="215" t="s">
        <v>206</v>
      </c>
      <c r="C155" s="9"/>
      <c r="D155" s="9">
        <v>0.03</v>
      </c>
      <c r="E155" s="9">
        <v>0</v>
      </c>
      <c r="F155" s="9">
        <v>0</v>
      </c>
      <c r="G155" s="9">
        <v>0</v>
      </c>
      <c r="H155" s="9"/>
      <c r="I155" s="9"/>
      <c r="J155" s="27"/>
      <c r="K155" s="27"/>
      <c r="L155" s="27"/>
      <c r="M155" s="27"/>
    </row>
    <row r="156" spans="2:13" customFormat="1" ht="15" x14ac:dyDescent="0.25">
      <c r="B156" s="215" t="s">
        <v>73</v>
      </c>
      <c r="C156" s="9">
        <v>5430</v>
      </c>
      <c r="D156" s="9">
        <v>13969.97</v>
      </c>
      <c r="E156" s="9">
        <v>1580</v>
      </c>
      <c r="F156" s="9">
        <v>2700</v>
      </c>
      <c r="G156" s="9">
        <v>698</v>
      </c>
      <c r="H156" s="9"/>
      <c r="I156" s="9">
        <f>C156+D156+E156+F156+G156+H156</f>
        <v>24377.97</v>
      </c>
      <c r="J156" s="27"/>
      <c r="K156" s="27"/>
      <c r="L156" s="27"/>
      <c r="M156" s="27"/>
    </row>
    <row r="157" spans="2:13" customFormat="1" ht="15.75" thickBot="1" x14ac:dyDescent="0.3">
      <c r="B157" s="216" t="s">
        <v>74</v>
      </c>
      <c r="C157" s="217">
        <v>178.5</v>
      </c>
      <c r="D157" s="217">
        <v>47.9</v>
      </c>
      <c r="E157" s="217">
        <v>1240.94</v>
      </c>
      <c r="F157" s="217">
        <v>8827.15</v>
      </c>
      <c r="G157" s="217">
        <v>0</v>
      </c>
      <c r="H157" s="217"/>
      <c r="I157" s="217">
        <f>C157+D157+E157+F157+G157+H157</f>
        <v>10294.49</v>
      </c>
      <c r="J157" s="27"/>
      <c r="K157" s="27"/>
      <c r="L157" s="27"/>
      <c r="M157" s="27"/>
    </row>
    <row r="158" spans="2:13" customFormat="1" ht="22.5" customHeight="1" thickTop="1" x14ac:dyDescent="0.25">
      <c r="B158" s="218" t="s">
        <v>137</v>
      </c>
      <c r="C158" s="208">
        <f t="shared" ref="C158:H158" si="17">C148+C149+C150+C157</f>
        <v>174559</v>
      </c>
      <c r="D158" s="208">
        <f t="shared" si="17"/>
        <v>363290.45</v>
      </c>
      <c r="E158" s="208">
        <f t="shared" si="17"/>
        <v>42480</v>
      </c>
      <c r="F158" s="208">
        <f t="shared" si="17"/>
        <v>112962.78</v>
      </c>
      <c r="G158" s="208">
        <f t="shared" si="17"/>
        <v>45238</v>
      </c>
      <c r="H158" s="208">
        <f t="shared" si="17"/>
        <v>415.7</v>
      </c>
      <c r="I158" s="208">
        <f>C158+D158+E158+F158+G158+H158</f>
        <v>738945.92999999993</v>
      </c>
      <c r="J158" s="27"/>
      <c r="K158" s="27"/>
      <c r="L158" s="27"/>
      <c r="M158" s="27"/>
    </row>
    <row r="159" spans="2:13" customFormat="1" ht="15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customFormat="1" ht="15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customFormat="1" ht="15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customFormat="1" ht="15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customFormat="1" ht="15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customFormat="1" ht="15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customFormat="1" ht="15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customFormat="1" ht="15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customFormat="1" ht="15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customFormat="1" ht="15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customFormat="1" ht="18" x14ac:dyDescent="0.25">
      <c r="B169" s="196" t="s">
        <v>207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customFormat="1" ht="7.5" customHeight="1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customFormat="1" ht="20.25" customHeight="1" thickBot="1" x14ac:dyDescent="0.3">
      <c r="B171" s="674" t="s">
        <v>141</v>
      </c>
      <c r="C171" s="674"/>
      <c r="D171" s="674"/>
      <c r="E171" s="674"/>
      <c r="F171" s="27"/>
      <c r="G171" s="27"/>
      <c r="H171" s="27"/>
      <c r="I171" s="27"/>
      <c r="J171" s="27"/>
      <c r="K171" s="27"/>
      <c r="L171" s="27"/>
      <c r="M171" s="27"/>
    </row>
    <row r="172" spans="2:13" customFormat="1" ht="15.75" thickTop="1" x14ac:dyDescent="0.25">
      <c r="B172" s="675" t="s">
        <v>183</v>
      </c>
      <c r="C172" s="675"/>
      <c r="D172" s="675"/>
      <c r="E172" s="198">
        <v>1364.37</v>
      </c>
      <c r="F172" s="27"/>
      <c r="G172" s="27"/>
      <c r="H172" s="27"/>
      <c r="I172" s="27"/>
      <c r="J172" s="27"/>
      <c r="K172" s="27"/>
      <c r="L172" s="27"/>
      <c r="M172" s="27"/>
    </row>
    <row r="173" spans="2:13" customFormat="1" ht="15" x14ac:dyDescent="0.25">
      <c r="B173" s="676" t="s">
        <v>51</v>
      </c>
      <c r="C173" s="676"/>
      <c r="D173" s="676"/>
      <c r="E173" s="198">
        <v>13359.3</v>
      </c>
      <c r="F173" s="27"/>
      <c r="G173" s="27"/>
      <c r="H173" s="27"/>
      <c r="I173" s="27"/>
      <c r="J173" s="27"/>
      <c r="K173" s="27"/>
      <c r="L173" s="27"/>
      <c r="M173" s="27"/>
    </row>
    <row r="174" spans="2:13" customFormat="1" ht="15" x14ac:dyDescent="0.25">
      <c r="B174" s="676" t="s">
        <v>185</v>
      </c>
      <c r="C174" s="676"/>
      <c r="D174" s="676"/>
      <c r="E174" s="9">
        <v>19192.18</v>
      </c>
      <c r="F174" s="27"/>
      <c r="G174" s="27"/>
      <c r="H174" s="27"/>
      <c r="I174" s="27"/>
      <c r="J174" s="27"/>
      <c r="K174" s="27"/>
      <c r="L174" s="27"/>
      <c r="M174" s="27"/>
    </row>
    <row r="175" spans="2:13" customFormat="1" ht="15" x14ac:dyDescent="0.25">
      <c r="B175" s="235" t="s">
        <v>145</v>
      </c>
      <c r="C175" s="236"/>
      <c r="D175" s="237"/>
      <c r="E175" s="9">
        <v>114140.42</v>
      </c>
      <c r="F175" s="27"/>
      <c r="G175" s="27"/>
      <c r="H175" s="27"/>
      <c r="I175" s="27"/>
      <c r="J175" s="27"/>
      <c r="K175" s="27"/>
      <c r="L175" s="27"/>
      <c r="M175" s="27"/>
    </row>
    <row r="176" spans="2:13" customFormat="1" ht="15" x14ac:dyDescent="0.25">
      <c r="B176" s="679" t="s">
        <v>54</v>
      </c>
      <c r="C176" s="679"/>
      <c r="D176" s="679"/>
      <c r="E176" s="9">
        <v>718.08</v>
      </c>
      <c r="F176" s="27"/>
      <c r="G176" s="27"/>
      <c r="H176" s="27"/>
      <c r="I176" s="27"/>
      <c r="J176" s="27"/>
      <c r="K176" s="27"/>
      <c r="L176" s="27"/>
      <c r="M176" s="27"/>
    </row>
    <row r="177" spans="2:13" customFormat="1" ht="15" x14ac:dyDescent="0.25">
      <c r="B177" s="230" t="s">
        <v>186</v>
      </c>
      <c r="C177" s="35"/>
      <c r="D177" s="231"/>
      <c r="E177" s="19">
        <v>1643</v>
      </c>
      <c r="F177" s="27"/>
      <c r="G177" s="27"/>
      <c r="H177" s="27"/>
      <c r="I177" s="27"/>
      <c r="J177" s="27"/>
      <c r="K177" s="27"/>
      <c r="L177" s="27"/>
      <c r="M177" s="27"/>
    </row>
    <row r="178" spans="2:13" customFormat="1" ht="15" x14ac:dyDescent="0.25">
      <c r="B178" s="230" t="s">
        <v>208</v>
      </c>
      <c r="C178" s="35"/>
      <c r="D178" s="231"/>
      <c r="E178" s="19">
        <v>435.49</v>
      </c>
      <c r="F178" s="27"/>
      <c r="G178" s="27"/>
      <c r="H178" s="27"/>
      <c r="I178" s="27"/>
      <c r="J178" s="27"/>
      <c r="K178" s="27"/>
      <c r="L178" s="27"/>
      <c r="M178" s="27"/>
    </row>
    <row r="179" spans="2:13" customFormat="1" ht="15.75" thickBot="1" x14ac:dyDescent="0.3">
      <c r="B179" s="226" t="s">
        <v>147</v>
      </c>
      <c r="C179" s="128"/>
      <c r="D179" s="129"/>
      <c r="E179" s="238">
        <v>19074.23</v>
      </c>
      <c r="F179" s="27"/>
      <c r="G179" s="27"/>
      <c r="H179" s="27"/>
      <c r="I179" s="27"/>
      <c r="J179" s="27"/>
      <c r="K179" s="27"/>
      <c r="L179" s="27"/>
      <c r="M179" s="27"/>
    </row>
    <row r="180" spans="2:13" customFormat="1" ht="21" customHeight="1" thickTop="1" x14ac:dyDescent="0.25">
      <c r="B180" s="680" t="s">
        <v>137</v>
      </c>
      <c r="C180" s="680"/>
      <c r="D180" s="680"/>
      <c r="E180" s="208">
        <f>SUM(E172:E179)</f>
        <v>169927.06999999998</v>
      </c>
      <c r="F180" s="27"/>
      <c r="G180" s="27"/>
      <c r="H180" s="27"/>
      <c r="I180" s="27"/>
      <c r="J180" s="27"/>
      <c r="K180" s="27"/>
      <c r="L180" s="27"/>
      <c r="M180" s="27"/>
    </row>
    <row r="181" spans="2:13" customFormat="1" ht="9.75" customHeight="1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s="133" customFormat="1" ht="84.75" thickBot="1" x14ac:dyDescent="0.3">
      <c r="B182" s="197" t="s">
        <v>58</v>
      </c>
      <c r="C182" s="209" t="s">
        <v>189</v>
      </c>
      <c r="D182" s="209" t="s">
        <v>190</v>
      </c>
      <c r="E182" s="209" t="s">
        <v>191</v>
      </c>
      <c r="F182" s="209" t="s">
        <v>192</v>
      </c>
      <c r="G182" s="209" t="s">
        <v>193</v>
      </c>
      <c r="H182" s="209" t="s">
        <v>194</v>
      </c>
      <c r="I182" s="210" t="s">
        <v>137</v>
      </c>
    </row>
    <row r="183" spans="2:13" customFormat="1" ht="15.75" thickTop="1" x14ac:dyDescent="0.25">
      <c r="B183" s="211" t="s">
        <v>65</v>
      </c>
      <c r="C183" s="212">
        <v>285084.51</v>
      </c>
      <c r="D183" s="212">
        <v>449527.89</v>
      </c>
      <c r="E183" s="212">
        <v>35011</v>
      </c>
      <c r="F183" s="212">
        <v>40549.01</v>
      </c>
      <c r="G183" s="212">
        <v>89392</v>
      </c>
      <c r="H183" s="212"/>
      <c r="I183" s="212">
        <f t="shared" ref="I183:I193" si="18">C183+D183+E183+F183+G183+H183</f>
        <v>899564.41</v>
      </c>
      <c r="J183" s="27"/>
      <c r="K183" s="27"/>
      <c r="L183" s="27"/>
      <c r="M183" s="27"/>
    </row>
    <row r="184" spans="2:13" customFormat="1" ht="15" x14ac:dyDescent="0.25">
      <c r="B184" s="213" t="s">
        <v>66</v>
      </c>
      <c r="C184" s="214">
        <v>98104.2</v>
      </c>
      <c r="D184" s="214">
        <v>158308.94</v>
      </c>
      <c r="E184" s="214">
        <v>12696.87</v>
      </c>
      <c r="F184" s="214">
        <v>14544</v>
      </c>
      <c r="G184" s="214">
        <v>31108.33</v>
      </c>
      <c r="H184" s="214"/>
      <c r="I184" s="214">
        <f t="shared" si="18"/>
        <v>314762.34000000003</v>
      </c>
      <c r="J184" s="27"/>
      <c r="K184" s="27"/>
      <c r="L184" s="27"/>
      <c r="M184" s="27"/>
    </row>
    <row r="185" spans="2:13" customFormat="1" ht="15" x14ac:dyDescent="0.25">
      <c r="B185" s="213" t="s">
        <v>67</v>
      </c>
      <c r="C185" s="214">
        <f t="shared" ref="C185:H185" si="19">SUM(C186:C191)</f>
        <v>56163.57</v>
      </c>
      <c r="D185" s="214">
        <f t="shared" si="19"/>
        <v>105353.89</v>
      </c>
      <c r="E185" s="214">
        <f t="shared" si="19"/>
        <v>66059.55</v>
      </c>
      <c r="F185" s="214">
        <f t="shared" si="19"/>
        <v>64960.04</v>
      </c>
      <c r="G185" s="214">
        <f t="shared" si="19"/>
        <v>12166</v>
      </c>
      <c r="H185" s="214">
        <f t="shared" si="19"/>
        <v>91.6</v>
      </c>
      <c r="I185" s="214">
        <f t="shared" si="18"/>
        <v>304794.64999999997</v>
      </c>
      <c r="J185" s="27"/>
      <c r="K185" s="27"/>
      <c r="L185" s="27"/>
      <c r="M185" s="27"/>
    </row>
    <row r="186" spans="2:13" customFormat="1" ht="15" x14ac:dyDescent="0.25">
      <c r="B186" s="215" t="s">
        <v>89</v>
      </c>
      <c r="C186" s="9">
        <v>128</v>
      </c>
      <c r="D186" s="9">
        <v>157</v>
      </c>
      <c r="E186" s="9">
        <v>0</v>
      </c>
      <c r="F186" s="9">
        <v>0</v>
      </c>
      <c r="G186" s="9">
        <v>0</v>
      </c>
      <c r="H186" s="9"/>
      <c r="I186" s="9">
        <f t="shared" si="18"/>
        <v>285</v>
      </c>
      <c r="J186" s="27"/>
      <c r="K186" s="27"/>
      <c r="L186" s="27"/>
      <c r="M186" s="27"/>
    </row>
    <row r="187" spans="2:13" customFormat="1" ht="15" x14ac:dyDescent="0.25">
      <c r="B187" s="215" t="s">
        <v>68</v>
      </c>
      <c r="C187" s="9">
        <v>16522.57</v>
      </c>
      <c r="D187" s="9">
        <v>26913.89</v>
      </c>
      <c r="E187" s="9">
        <v>1292</v>
      </c>
      <c r="F187" s="9">
        <v>1796</v>
      </c>
      <c r="G187" s="9">
        <v>5294</v>
      </c>
      <c r="H187" s="9"/>
      <c r="I187" s="9">
        <f t="shared" si="18"/>
        <v>51818.46</v>
      </c>
      <c r="J187" s="27"/>
      <c r="K187" s="27"/>
      <c r="L187" s="27"/>
      <c r="M187" s="27"/>
    </row>
    <row r="188" spans="2:13" customFormat="1" ht="15" x14ac:dyDescent="0.25">
      <c r="B188" s="215" t="s">
        <v>69</v>
      </c>
      <c r="C188" s="9">
        <v>10009</v>
      </c>
      <c r="D188" s="9">
        <v>28103</v>
      </c>
      <c r="E188" s="9">
        <v>61367.55</v>
      </c>
      <c r="F188" s="9">
        <v>59514.04</v>
      </c>
      <c r="G188" s="9">
        <v>2372</v>
      </c>
      <c r="H188" s="9">
        <v>91.6</v>
      </c>
      <c r="I188" s="9">
        <f t="shared" si="18"/>
        <v>161457.19</v>
      </c>
      <c r="J188" s="27"/>
      <c r="K188" s="27"/>
      <c r="L188" s="27"/>
      <c r="M188" s="27"/>
    </row>
    <row r="189" spans="2:13" customFormat="1" ht="15" x14ac:dyDescent="0.25">
      <c r="B189" s="215" t="s">
        <v>70</v>
      </c>
      <c r="C189" s="9">
        <v>1206</v>
      </c>
      <c r="D189" s="9">
        <v>0</v>
      </c>
      <c r="E189" s="9">
        <v>0</v>
      </c>
      <c r="F189" s="9">
        <v>0</v>
      </c>
      <c r="G189" s="9">
        <v>0</v>
      </c>
      <c r="H189" s="9"/>
      <c r="I189" s="9">
        <f t="shared" si="18"/>
        <v>1206</v>
      </c>
      <c r="J189" s="27"/>
      <c r="K189" s="27"/>
      <c r="L189" s="27"/>
      <c r="M189" s="27"/>
    </row>
    <row r="190" spans="2:13" customFormat="1" ht="15" x14ac:dyDescent="0.25">
      <c r="B190" s="215" t="s">
        <v>71</v>
      </c>
      <c r="C190" s="9">
        <v>10750</v>
      </c>
      <c r="D190" s="9">
        <v>25150</v>
      </c>
      <c r="E190" s="9">
        <v>645</v>
      </c>
      <c r="F190" s="9">
        <v>855</v>
      </c>
      <c r="G190" s="9">
        <v>0</v>
      </c>
      <c r="H190" s="9"/>
      <c r="I190" s="9">
        <f t="shared" si="18"/>
        <v>37400</v>
      </c>
      <c r="J190" s="27"/>
      <c r="K190" s="27"/>
      <c r="L190" s="27"/>
      <c r="M190" s="27"/>
    </row>
    <row r="191" spans="2:13" customFormat="1" ht="15" x14ac:dyDescent="0.25">
      <c r="B191" s="215" t="s">
        <v>73</v>
      </c>
      <c r="C191" s="9">
        <v>17548</v>
      </c>
      <c r="D191" s="9">
        <v>25030</v>
      </c>
      <c r="E191" s="9">
        <v>2755</v>
      </c>
      <c r="F191" s="9">
        <v>2795</v>
      </c>
      <c r="G191" s="9">
        <v>4500</v>
      </c>
      <c r="H191" s="9"/>
      <c r="I191" s="9">
        <f t="shared" si="18"/>
        <v>52628</v>
      </c>
      <c r="J191" s="27"/>
      <c r="K191" s="27"/>
      <c r="L191" s="27"/>
      <c r="M191" s="27"/>
    </row>
    <row r="192" spans="2:13" customFormat="1" ht="15.75" thickBot="1" x14ac:dyDescent="0.3">
      <c r="B192" s="216" t="s">
        <v>74</v>
      </c>
      <c r="C192" s="217">
        <v>3181.16</v>
      </c>
      <c r="D192" s="217">
        <v>1658.69</v>
      </c>
      <c r="E192" s="217">
        <v>457.13</v>
      </c>
      <c r="F192" s="217">
        <v>15142.21</v>
      </c>
      <c r="G192" s="217">
        <v>1383.67</v>
      </c>
      <c r="H192" s="217"/>
      <c r="I192" s="217">
        <f t="shared" si="18"/>
        <v>21822.86</v>
      </c>
      <c r="J192" s="27"/>
      <c r="K192" s="27"/>
      <c r="L192" s="27"/>
      <c r="M192" s="27"/>
    </row>
    <row r="193" spans="2:13" customFormat="1" ht="24" customHeight="1" thickTop="1" x14ac:dyDescent="0.25">
      <c r="B193" s="218" t="s">
        <v>137</v>
      </c>
      <c r="C193" s="208">
        <f t="shared" ref="C193:H193" si="20">C183+C184+C185+C192</f>
        <v>442533.44</v>
      </c>
      <c r="D193" s="208">
        <f t="shared" si="20"/>
        <v>714849.41</v>
      </c>
      <c r="E193" s="208">
        <f t="shared" si="20"/>
        <v>114224.55000000002</v>
      </c>
      <c r="F193" s="208">
        <f t="shared" si="20"/>
        <v>135195.26</v>
      </c>
      <c r="G193" s="208">
        <f t="shared" si="20"/>
        <v>134050.00000000003</v>
      </c>
      <c r="H193" s="208">
        <f t="shared" si="20"/>
        <v>91.6</v>
      </c>
      <c r="I193" s="208">
        <f t="shared" si="18"/>
        <v>1540944.2600000002</v>
      </c>
      <c r="J193" s="27"/>
      <c r="K193" s="27"/>
      <c r="L193" s="27"/>
      <c r="M193" s="27"/>
    </row>
    <row r="194" spans="2:13" customFormat="1" ht="15" x14ac:dyDescent="0.25">
      <c r="B194" s="27"/>
      <c r="C194" s="27"/>
      <c r="D194" s="27"/>
      <c r="E194" s="27"/>
      <c r="F194" s="27"/>
      <c r="G194" s="27"/>
      <c r="H194" s="239"/>
      <c r="I194" s="27"/>
      <c r="J194" s="27"/>
      <c r="K194" s="27"/>
      <c r="L194" s="27"/>
      <c r="M194" s="27"/>
    </row>
    <row r="195" spans="2:13" customFormat="1" ht="18" x14ac:dyDescent="0.25">
      <c r="B195" s="196" t="s">
        <v>209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customFormat="1" ht="7.5" customHeight="1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s="131" customFormat="1" ht="19.5" customHeight="1" thickBot="1" x14ac:dyDescent="0.3">
      <c r="B197" s="674" t="s">
        <v>141</v>
      </c>
      <c r="C197" s="674"/>
      <c r="D197" s="674"/>
      <c r="E197" s="674"/>
    </row>
    <row r="198" spans="2:13" customFormat="1" ht="15.75" thickTop="1" x14ac:dyDescent="0.25">
      <c r="B198" s="675" t="s">
        <v>183</v>
      </c>
      <c r="C198" s="675"/>
      <c r="D198" s="675"/>
      <c r="E198" s="233">
        <v>2116.56</v>
      </c>
      <c r="F198" s="27"/>
      <c r="G198" s="27"/>
      <c r="H198" s="27"/>
      <c r="I198" s="27"/>
      <c r="J198" s="27"/>
      <c r="K198" s="27"/>
      <c r="L198" s="27"/>
      <c r="M198" s="27"/>
    </row>
    <row r="199" spans="2:13" customFormat="1" ht="15" x14ac:dyDescent="0.25">
      <c r="B199" s="676" t="s">
        <v>184</v>
      </c>
      <c r="C199" s="676"/>
      <c r="D199" s="676"/>
      <c r="E199" s="225">
        <v>7114.8</v>
      </c>
      <c r="F199" s="27"/>
      <c r="G199" s="27"/>
      <c r="H199" s="27"/>
      <c r="I199" s="27"/>
      <c r="J199" s="27"/>
      <c r="K199" s="27"/>
      <c r="L199" s="27"/>
      <c r="M199" s="27"/>
    </row>
    <row r="200" spans="2:13" customFormat="1" ht="15" x14ac:dyDescent="0.25">
      <c r="B200" s="676" t="s">
        <v>185</v>
      </c>
      <c r="C200" s="676"/>
      <c r="D200" s="676"/>
      <c r="E200" s="225">
        <v>9008.27</v>
      </c>
      <c r="F200" s="27"/>
      <c r="G200" s="27"/>
      <c r="H200" s="27"/>
      <c r="I200" s="27"/>
      <c r="J200" s="27"/>
      <c r="K200" s="27"/>
      <c r="L200" s="27"/>
      <c r="M200" s="27"/>
    </row>
    <row r="201" spans="2:13" s="124" customFormat="1" x14ac:dyDescent="0.25">
      <c r="B201" s="669" t="s">
        <v>145</v>
      </c>
      <c r="C201" s="669"/>
      <c r="D201" s="669"/>
      <c r="E201" s="199">
        <v>137449.84</v>
      </c>
    </row>
    <row r="202" spans="2:13" s="124" customFormat="1" ht="14.25" customHeight="1" x14ac:dyDescent="0.25">
      <c r="B202" s="204" t="s">
        <v>187</v>
      </c>
      <c r="C202" s="205"/>
      <c r="D202" s="206"/>
      <c r="E202" s="199">
        <v>1215</v>
      </c>
    </row>
    <row r="203" spans="2:13" s="124" customFormat="1" ht="13.5" thickBot="1" x14ac:dyDescent="0.3">
      <c r="B203" s="678" t="s">
        <v>147</v>
      </c>
      <c r="C203" s="678"/>
      <c r="D203" s="678"/>
      <c r="E203" s="207">
        <v>19398.72</v>
      </c>
    </row>
    <row r="204" spans="2:13" customFormat="1" ht="20.25" customHeight="1" thickTop="1" x14ac:dyDescent="0.25">
      <c r="B204" s="680" t="s">
        <v>137</v>
      </c>
      <c r="C204" s="680"/>
      <c r="D204" s="680"/>
      <c r="E204" s="234">
        <f>SUM(E198:E203)</f>
        <v>176303.19</v>
      </c>
      <c r="F204" s="27"/>
      <c r="G204" s="27"/>
      <c r="H204" s="27"/>
      <c r="I204" s="27"/>
      <c r="J204" s="27"/>
      <c r="K204" s="27"/>
      <c r="L204" s="27"/>
      <c r="M204" s="27"/>
    </row>
    <row r="205" spans="2:13" customFormat="1" ht="10.5" customHeight="1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s="133" customFormat="1" ht="84.75" thickBot="1" x14ac:dyDescent="0.3">
      <c r="B206" s="197" t="s">
        <v>58</v>
      </c>
      <c r="C206" s="209" t="s">
        <v>189</v>
      </c>
      <c r="D206" s="209" t="s">
        <v>190</v>
      </c>
      <c r="E206" s="209" t="s">
        <v>191</v>
      </c>
      <c r="F206" s="209" t="s">
        <v>192</v>
      </c>
      <c r="G206" s="209" t="s">
        <v>193</v>
      </c>
      <c r="H206" s="209" t="s">
        <v>194</v>
      </c>
      <c r="I206" s="210" t="s">
        <v>137</v>
      </c>
    </row>
    <row r="207" spans="2:13" customFormat="1" ht="15.75" thickTop="1" x14ac:dyDescent="0.25">
      <c r="B207" s="211" t="s">
        <v>65</v>
      </c>
      <c r="C207" s="212">
        <v>335290</v>
      </c>
      <c r="D207" s="212">
        <v>426550</v>
      </c>
      <c r="E207" s="212">
        <v>36000</v>
      </c>
      <c r="F207" s="212">
        <v>37704.32</v>
      </c>
      <c r="G207" s="212">
        <v>92702.01</v>
      </c>
      <c r="H207" s="212"/>
      <c r="I207" s="212">
        <f t="shared" ref="I207:I218" si="21">C207+D207+E207+F207+G207+H207</f>
        <v>928246.33</v>
      </c>
      <c r="J207" s="27"/>
      <c r="K207" s="27"/>
      <c r="L207" s="27"/>
      <c r="M207" s="27"/>
    </row>
    <row r="208" spans="2:13" customFormat="1" ht="15" x14ac:dyDescent="0.25">
      <c r="B208" s="213" t="s">
        <v>66</v>
      </c>
      <c r="C208" s="214">
        <v>124546</v>
      </c>
      <c r="D208" s="214">
        <v>172965</v>
      </c>
      <c r="E208" s="214">
        <v>13000</v>
      </c>
      <c r="F208" s="214">
        <v>13998.25</v>
      </c>
      <c r="G208" s="214">
        <v>33448.53</v>
      </c>
      <c r="H208" s="214"/>
      <c r="I208" s="214">
        <f t="shared" si="21"/>
        <v>357957.78</v>
      </c>
      <c r="J208" s="27"/>
      <c r="K208" s="27"/>
      <c r="L208" s="27"/>
      <c r="M208" s="27"/>
    </row>
    <row r="209" spans="2:13" customFormat="1" ht="15" x14ac:dyDescent="0.25">
      <c r="B209" s="213" t="s">
        <v>67</v>
      </c>
      <c r="C209" s="214">
        <f t="shared" ref="C209:H209" si="22">SUM(C210:C215)</f>
        <v>59562.619999999995</v>
      </c>
      <c r="D209" s="214">
        <f t="shared" si="22"/>
        <v>147316.75</v>
      </c>
      <c r="E209" s="214">
        <f t="shared" si="22"/>
        <v>78512.28</v>
      </c>
      <c r="F209" s="214">
        <f t="shared" si="22"/>
        <v>75803.679999999993</v>
      </c>
      <c r="G209" s="214">
        <f t="shared" si="22"/>
        <v>9300.64</v>
      </c>
      <c r="H209" s="214">
        <f t="shared" si="22"/>
        <v>332.7</v>
      </c>
      <c r="I209" s="214">
        <f t="shared" si="21"/>
        <v>370828.67000000004</v>
      </c>
      <c r="J209" s="27"/>
      <c r="K209" s="27"/>
      <c r="L209" s="27"/>
      <c r="M209" s="27"/>
    </row>
    <row r="210" spans="2:13" customFormat="1" ht="15" x14ac:dyDescent="0.25">
      <c r="B210" s="215" t="s">
        <v>89</v>
      </c>
      <c r="C210" s="9">
        <v>304.33999999999997</v>
      </c>
      <c r="D210" s="9">
        <v>900</v>
      </c>
      <c r="E210" s="9">
        <v>0</v>
      </c>
      <c r="F210" s="9">
        <v>50</v>
      </c>
      <c r="G210" s="9">
        <v>0</v>
      </c>
      <c r="H210" s="9"/>
      <c r="I210" s="9">
        <f t="shared" si="21"/>
        <v>1254.3399999999999</v>
      </c>
      <c r="J210" s="27"/>
      <c r="K210" s="27"/>
      <c r="L210" s="27"/>
      <c r="M210" s="27"/>
    </row>
    <row r="211" spans="2:13" customFormat="1" ht="15" x14ac:dyDescent="0.25">
      <c r="B211" s="215" t="s">
        <v>68</v>
      </c>
      <c r="C211" s="9">
        <v>18350</v>
      </c>
      <c r="D211" s="9">
        <v>26600.54</v>
      </c>
      <c r="E211" s="9">
        <v>6700</v>
      </c>
      <c r="F211" s="9">
        <v>8299.76</v>
      </c>
      <c r="G211" s="9">
        <v>400</v>
      </c>
      <c r="H211" s="9"/>
      <c r="I211" s="9">
        <f t="shared" si="21"/>
        <v>60350.3</v>
      </c>
      <c r="J211" s="27"/>
      <c r="K211" s="27"/>
      <c r="L211" s="27"/>
      <c r="M211" s="27"/>
    </row>
    <row r="212" spans="2:13" customFormat="1" ht="15" x14ac:dyDescent="0.25">
      <c r="B212" s="215" t="s">
        <v>69</v>
      </c>
      <c r="C212" s="9">
        <v>10152.9</v>
      </c>
      <c r="D212" s="9">
        <v>25390.12</v>
      </c>
      <c r="E212" s="9">
        <v>69102.67</v>
      </c>
      <c r="F212" s="9">
        <v>63102.66</v>
      </c>
      <c r="G212" s="9">
        <v>8000.32</v>
      </c>
      <c r="H212" s="9">
        <v>332.7</v>
      </c>
      <c r="I212" s="9">
        <f t="shared" si="21"/>
        <v>176081.37000000002</v>
      </c>
      <c r="J212" s="27"/>
      <c r="K212" s="27"/>
      <c r="L212" s="27"/>
      <c r="M212" s="27"/>
    </row>
    <row r="213" spans="2:13" customFormat="1" ht="15" x14ac:dyDescent="0.25">
      <c r="B213" s="215" t="s">
        <v>71</v>
      </c>
      <c r="C213" s="9">
        <v>13115</v>
      </c>
      <c r="D213" s="9">
        <v>61300</v>
      </c>
      <c r="E213" s="9">
        <v>1750</v>
      </c>
      <c r="F213" s="9">
        <v>2150</v>
      </c>
      <c r="G213" s="9">
        <v>0</v>
      </c>
      <c r="H213" s="9"/>
      <c r="I213" s="9">
        <f t="shared" si="21"/>
        <v>78315</v>
      </c>
      <c r="J213" s="27"/>
      <c r="K213" s="27"/>
      <c r="L213" s="27"/>
      <c r="M213" s="27"/>
    </row>
    <row r="214" spans="2:13" customFormat="1" ht="15" x14ac:dyDescent="0.25">
      <c r="B214" s="215" t="s">
        <v>203</v>
      </c>
      <c r="C214" s="9">
        <v>2400</v>
      </c>
      <c r="D214" s="9">
        <v>3000</v>
      </c>
      <c r="E214" s="9">
        <v>0</v>
      </c>
      <c r="F214" s="9">
        <v>0</v>
      </c>
      <c r="G214" s="9">
        <v>0</v>
      </c>
      <c r="H214" s="9"/>
      <c r="I214" s="9">
        <f t="shared" si="21"/>
        <v>5400</v>
      </c>
      <c r="J214" s="27"/>
      <c r="K214" s="27"/>
      <c r="L214" s="27"/>
      <c r="M214" s="27"/>
    </row>
    <row r="215" spans="2:13" customFormat="1" ht="15" x14ac:dyDescent="0.25">
      <c r="B215" s="215" t="s">
        <v>73</v>
      </c>
      <c r="C215" s="9">
        <v>15240.38</v>
      </c>
      <c r="D215" s="9">
        <v>30126.09</v>
      </c>
      <c r="E215" s="9">
        <v>959.61</v>
      </c>
      <c r="F215" s="9">
        <v>2201.2600000000002</v>
      </c>
      <c r="G215" s="9">
        <v>900.32</v>
      </c>
      <c r="H215" s="9"/>
      <c r="I215" s="9">
        <f t="shared" si="21"/>
        <v>49427.66</v>
      </c>
      <c r="J215" s="27"/>
      <c r="K215" s="27"/>
      <c r="L215" s="27"/>
      <c r="M215" s="27"/>
    </row>
    <row r="216" spans="2:13" customFormat="1" ht="15" x14ac:dyDescent="0.25">
      <c r="B216" s="213" t="s">
        <v>74</v>
      </c>
      <c r="C216" s="214">
        <v>9930</v>
      </c>
      <c r="D216" s="214">
        <v>12186.12</v>
      </c>
      <c r="E216" s="214">
        <v>18909.490000000002</v>
      </c>
      <c r="F216" s="214">
        <v>2019.15</v>
      </c>
      <c r="G216" s="214">
        <v>999.86</v>
      </c>
      <c r="H216" s="214"/>
      <c r="I216" s="214">
        <f t="shared" si="21"/>
        <v>44044.62</v>
      </c>
      <c r="J216" s="27"/>
      <c r="K216" s="27"/>
      <c r="L216" s="27"/>
      <c r="M216" s="27"/>
    </row>
    <row r="217" spans="2:13" s="131" customFormat="1" x14ac:dyDescent="0.25">
      <c r="B217" s="240" t="s">
        <v>197</v>
      </c>
      <c r="C217" s="241"/>
      <c r="D217" s="241"/>
      <c r="E217" s="241"/>
      <c r="F217" s="241">
        <v>7900</v>
      </c>
      <c r="G217" s="241"/>
      <c r="H217" s="241"/>
      <c r="I217" s="241">
        <f t="shared" si="21"/>
        <v>7900</v>
      </c>
    </row>
    <row r="218" spans="2:13" customFormat="1" ht="17.25" customHeight="1" x14ac:dyDescent="0.25">
      <c r="B218" s="218" t="s">
        <v>137</v>
      </c>
      <c r="C218" s="208">
        <f t="shared" ref="C218:H218" si="23">C207+C208+C209+C216+C217</f>
        <v>529328.62</v>
      </c>
      <c r="D218" s="208">
        <f t="shared" si="23"/>
        <v>759017.87</v>
      </c>
      <c r="E218" s="208">
        <f t="shared" si="23"/>
        <v>146421.76999999999</v>
      </c>
      <c r="F218" s="208">
        <f t="shared" si="23"/>
        <v>137425.4</v>
      </c>
      <c r="G218" s="208">
        <f t="shared" si="23"/>
        <v>136451.03999999998</v>
      </c>
      <c r="H218" s="208">
        <f t="shared" si="23"/>
        <v>332.7</v>
      </c>
      <c r="I218" s="208">
        <f t="shared" si="21"/>
        <v>1708977.4</v>
      </c>
      <c r="J218" s="27"/>
      <c r="K218" s="152"/>
      <c r="L218" s="27"/>
      <c r="M218" s="27"/>
    </row>
    <row r="219" spans="2:13" customFormat="1" ht="15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customFormat="1" ht="15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customFormat="1" ht="15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customFormat="1" ht="15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customFormat="1" ht="18" x14ac:dyDescent="0.25">
      <c r="B223" s="196" t="s">
        <v>210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5" spans="2:13" customFormat="1" ht="20.25" customHeight="1" thickBot="1" x14ac:dyDescent="0.3">
      <c r="B225" s="674" t="s">
        <v>141</v>
      </c>
      <c r="C225" s="674"/>
      <c r="D225" s="674"/>
      <c r="E225" s="674"/>
      <c r="F225" s="27"/>
      <c r="G225" s="152"/>
      <c r="H225" s="152"/>
      <c r="I225" s="27"/>
      <c r="J225" s="219"/>
      <c r="K225" s="219"/>
      <c r="L225" s="219"/>
      <c r="M225" s="27"/>
    </row>
    <row r="226" spans="2:13" customFormat="1" ht="15.75" thickTop="1" x14ac:dyDescent="0.25">
      <c r="B226" s="675" t="s">
        <v>183</v>
      </c>
      <c r="C226" s="675"/>
      <c r="D226" s="675"/>
      <c r="E226" s="233">
        <v>74336.990000000005</v>
      </c>
      <c r="F226" s="152"/>
      <c r="G226" s="27"/>
      <c r="H226" s="152"/>
      <c r="I226" s="27"/>
      <c r="J226" s="219"/>
      <c r="K226" s="219"/>
      <c r="L226" s="219"/>
      <c r="M226" s="27"/>
    </row>
    <row r="227" spans="2:13" customFormat="1" ht="15" x14ac:dyDescent="0.25">
      <c r="B227" s="676" t="s">
        <v>184</v>
      </c>
      <c r="C227" s="676"/>
      <c r="D227" s="676"/>
      <c r="E227" s="225">
        <v>104667.81</v>
      </c>
      <c r="F227" s="152"/>
      <c r="G227" s="27"/>
      <c r="H227" s="152"/>
      <c r="I227" s="27"/>
      <c r="J227" s="219"/>
      <c r="K227" s="219"/>
      <c r="L227" s="219"/>
      <c r="M227" s="27"/>
    </row>
    <row r="228" spans="2:13" customFormat="1" ht="12.75" customHeight="1" x14ac:dyDescent="0.25">
      <c r="B228" s="676" t="s">
        <v>185</v>
      </c>
      <c r="C228" s="676"/>
      <c r="D228" s="676"/>
      <c r="E228" s="225">
        <v>102187.94</v>
      </c>
      <c r="F228" s="152"/>
      <c r="G228" s="152"/>
      <c r="H228" s="152"/>
      <c r="I228" s="27"/>
      <c r="J228" s="219"/>
      <c r="K228" s="219"/>
      <c r="L228" s="219"/>
      <c r="M228" s="27"/>
    </row>
    <row r="229" spans="2:13" customFormat="1" ht="12.75" customHeight="1" x14ac:dyDescent="0.25">
      <c r="B229" s="676" t="s">
        <v>145</v>
      </c>
      <c r="C229" s="676"/>
      <c r="D229" s="676"/>
      <c r="E229" s="225">
        <v>726134.34</v>
      </c>
      <c r="F229" s="152"/>
      <c r="G229" s="152"/>
      <c r="H229" s="152"/>
      <c r="I229" s="27"/>
      <c r="J229" s="219"/>
      <c r="K229" s="219"/>
      <c r="L229" s="219"/>
      <c r="M229" s="27"/>
    </row>
    <row r="230" spans="2:13" customFormat="1" ht="12.75" customHeight="1" x14ac:dyDescent="0.25">
      <c r="B230" s="669" t="s">
        <v>54</v>
      </c>
      <c r="C230" s="669"/>
      <c r="D230" s="669"/>
      <c r="E230" s="199">
        <v>2003.44</v>
      </c>
      <c r="F230" s="242"/>
      <c r="G230" s="27"/>
      <c r="H230" s="152"/>
      <c r="I230" s="27"/>
      <c r="J230" s="219"/>
      <c r="K230" s="219"/>
      <c r="L230" s="219"/>
      <c r="M230" s="27"/>
    </row>
    <row r="231" spans="2:13" customFormat="1" ht="15" customHeight="1" x14ac:dyDescent="0.25">
      <c r="B231" s="669" t="s">
        <v>55</v>
      </c>
      <c r="C231" s="669"/>
      <c r="D231" s="669"/>
      <c r="E231" s="199">
        <v>6795.68</v>
      </c>
      <c r="F231" s="242"/>
      <c r="G231" s="27"/>
      <c r="H231" s="152"/>
      <c r="I231" s="27"/>
      <c r="J231" s="219"/>
      <c r="K231" s="219"/>
      <c r="L231" s="219"/>
      <c r="M231" s="219"/>
    </row>
    <row r="232" spans="2:13" customFormat="1" ht="15" x14ac:dyDescent="0.25">
      <c r="B232" s="669" t="s">
        <v>187</v>
      </c>
      <c r="C232" s="669"/>
      <c r="D232" s="669"/>
      <c r="E232" s="199">
        <v>9456.73</v>
      </c>
      <c r="F232" s="242"/>
      <c r="G232" s="27"/>
      <c r="H232" s="152"/>
      <c r="I232" s="27"/>
      <c r="J232" s="219"/>
      <c r="K232" s="219"/>
      <c r="L232" s="219"/>
      <c r="M232" s="219"/>
    </row>
    <row r="233" spans="2:13" customFormat="1" ht="12.75" customHeight="1" x14ac:dyDescent="0.25">
      <c r="B233" s="204" t="s">
        <v>211</v>
      </c>
      <c r="C233" s="205"/>
      <c r="D233" s="206"/>
      <c r="E233" s="199">
        <v>74952.05</v>
      </c>
      <c r="F233" s="242"/>
      <c r="G233" s="27"/>
      <c r="H233" s="27"/>
      <c r="I233" s="27"/>
      <c r="J233" s="27"/>
      <c r="K233" s="27"/>
      <c r="L233" s="219"/>
      <c r="M233" s="27"/>
    </row>
    <row r="234" spans="2:13" customFormat="1" ht="15" x14ac:dyDescent="0.25">
      <c r="B234" s="669" t="s">
        <v>196</v>
      </c>
      <c r="C234" s="669"/>
      <c r="D234" s="669"/>
      <c r="E234" s="203">
        <v>965.87</v>
      </c>
      <c r="F234" s="242"/>
      <c r="G234" s="27"/>
      <c r="H234" s="27"/>
      <c r="I234" s="27"/>
      <c r="J234" s="27"/>
      <c r="K234" s="27"/>
      <c r="L234" s="219"/>
      <c r="M234" s="27"/>
    </row>
    <row r="235" spans="2:13" customFormat="1" ht="15.75" thickBot="1" x14ac:dyDescent="0.3">
      <c r="B235" s="678" t="s">
        <v>212</v>
      </c>
      <c r="C235" s="678"/>
      <c r="D235" s="678"/>
      <c r="E235" s="207">
        <v>104066.78</v>
      </c>
      <c r="F235" s="242"/>
      <c r="G235" s="27"/>
      <c r="H235" s="27"/>
      <c r="I235" s="27"/>
      <c r="J235" s="27"/>
      <c r="K235" s="27"/>
      <c r="L235" s="219"/>
      <c r="M235" s="27"/>
    </row>
    <row r="236" spans="2:13" customFormat="1" ht="21.75" customHeight="1" thickTop="1" x14ac:dyDescent="0.25">
      <c r="B236" s="673" t="s">
        <v>137</v>
      </c>
      <c r="C236" s="673"/>
      <c r="D236" s="673"/>
      <c r="E236" s="243">
        <f>SUM(E226:E235)</f>
        <v>1205567.6300000001</v>
      </c>
      <c r="F236" s="242"/>
      <c r="G236" s="152"/>
      <c r="H236" s="152"/>
      <c r="I236" s="152"/>
      <c r="J236" s="152"/>
      <c r="K236" s="152"/>
      <c r="L236" s="27"/>
      <c r="M236" s="27"/>
    </row>
    <row r="237" spans="2:13" customFormat="1" ht="15" x14ac:dyDescent="0.25">
      <c r="B237" s="27"/>
      <c r="C237" s="27"/>
      <c r="D237" s="27"/>
      <c r="E237" s="27"/>
      <c r="F237" s="242"/>
      <c r="G237" s="27"/>
      <c r="H237" s="27"/>
      <c r="I237" s="27"/>
      <c r="J237" s="27"/>
      <c r="K237" s="27"/>
      <c r="L237" s="27"/>
      <c r="M237" s="27"/>
    </row>
    <row r="238" spans="2:13" customFormat="1" ht="84.75" thickBot="1" x14ac:dyDescent="0.3">
      <c r="B238" s="197" t="s">
        <v>58</v>
      </c>
      <c r="C238" s="209" t="s">
        <v>189</v>
      </c>
      <c r="D238" s="209" t="s">
        <v>190</v>
      </c>
      <c r="E238" s="209" t="s">
        <v>191</v>
      </c>
      <c r="F238" s="209" t="s">
        <v>192</v>
      </c>
      <c r="G238" s="209" t="s">
        <v>193</v>
      </c>
      <c r="H238" s="209" t="s">
        <v>194</v>
      </c>
      <c r="I238" s="210" t="s">
        <v>137</v>
      </c>
      <c r="J238" s="27"/>
      <c r="K238" s="27"/>
      <c r="L238" s="27"/>
      <c r="M238" s="27"/>
    </row>
    <row r="239" spans="2:13" customFormat="1" ht="15.75" thickTop="1" x14ac:dyDescent="0.25">
      <c r="B239" s="211" t="s">
        <v>65</v>
      </c>
      <c r="C239" s="212">
        <f t="shared" ref="C239:H240" si="24">C207+C183+C148+C123+C100+C73+C44+C17</f>
        <v>1992624.25</v>
      </c>
      <c r="D239" s="212">
        <f t="shared" si="24"/>
        <v>2923442.3499999996</v>
      </c>
      <c r="E239" s="212">
        <f t="shared" si="24"/>
        <v>208846.83999999997</v>
      </c>
      <c r="F239" s="212">
        <f t="shared" si="24"/>
        <v>238004.27</v>
      </c>
      <c r="G239" s="212">
        <f t="shared" si="24"/>
        <v>680032.27</v>
      </c>
      <c r="H239" s="212">
        <f t="shared" si="24"/>
        <v>0</v>
      </c>
      <c r="I239" s="212">
        <f t="shared" ref="I239:I249" si="25">C239+D239+E239+F239+G239+H239</f>
        <v>6042949.9799999986</v>
      </c>
      <c r="J239" s="27"/>
      <c r="K239" s="27"/>
      <c r="L239" s="27"/>
      <c r="M239" s="27"/>
    </row>
    <row r="240" spans="2:13" customFormat="1" ht="15" x14ac:dyDescent="0.25">
      <c r="B240" s="213" t="s">
        <v>66</v>
      </c>
      <c r="C240" s="214">
        <f t="shared" si="24"/>
        <v>706707.66999999993</v>
      </c>
      <c r="D240" s="214">
        <f t="shared" si="24"/>
        <v>1053756.97</v>
      </c>
      <c r="E240" s="214">
        <f t="shared" si="24"/>
        <v>74367.009999999995</v>
      </c>
      <c r="F240" s="214">
        <f t="shared" si="24"/>
        <v>84492.03</v>
      </c>
      <c r="G240" s="214">
        <f t="shared" si="24"/>
        <v>239087.44</v>
      </c>
      <c r="H240" s="214">
        <f t="shared" si="24"/>
        <v>0</v>
      </c>
      <c r="I240" s="214">
        <f t="shared" si="25"/>
        <v>2158411.12</v>
      </c>
      <c r="J240" s="27"/>
      <c r="K240" s="27"/>
      <c r="L240" s="27"/>
      <c r="M240" s="27"/>
    </row>
    <row r="241" spans="2:13" customFormat="1" ht="15" x14ac:dyDescent="0.25">
      <c r="B241" s="213" t="s">
        <v>67</v>
      </c>
      <c r="C241" s="214">
        <f t="shared" ref="C241:H241" si="26">SUM(C242:C248)</f>
        <v>425234.79</v>
      </c>
      <c r="D241" s="214">
        <f t="shared" si="26"/>
        <v>955002.89000000013</v>
      </c>
      <c r="E241" s="214">
        <f t="shared" si="26"/>
        <v>391281.36</v>
      </c>
      <c r="F241" s="214">
        <f t="shared" si="26"/>
        <v>687681.7</v>
      </c>
      <c r="G241" s="214">
        <f t="shared" si="26"/>
        <v>96183.98000000001</v>
      </c>
      <c r="H241" s="214">
        <f t="shared" si="26"/>
        <v>3093.6800000000003</v>
      </c>
      <c r="I241" s="214">
        <f t="shared" si="25"/>
        <v>2558478.4000000004</v>
      </c>
      <c r="J241" s="27"/>
      <c r="K241" s="27"/>
      <c r="L241" s="27"/>
      <c r="M241" s="27"/>
    </row>
    <row r="242" spans="2:13" customFormat="1" ht="15" x14ac:dyDescent="0.25">
      <c r="B242" s="215" t="s">
        <v>89</v>
      </c>
      <c r="C242" s="9">
        <f t="shared" ref="C242:H242" si="27">C210+C186+C103+C76+C47+C20</f>
        <v>1106.75</v>
      </c>
      <c r="D242" s="9">
        <f t="shared" si="27"/>
        <v>1787.65</v>
      </c>
      <c r="E242" s="9">
        <f t="shared" si="27"/>
        <v>0</v>
      </c>
      <c r="F242" s="9">
        <f t="shared" si="27"/>
        <v>50</v>
      </c>
      <c r="G242" s="9">
        <f t="shared" si="27"/>
        <v>0</v>
      </c>
      <c r="H242" s="9">
        <f t="shared" si="27"/>
        <v>0</v>
      </c>
      <c r="I242" s="9">
        <f t="shared" si="25"/>
        <v>2944.4</v>
      </c>
      <c r="J242" s="27"/>
      <c r="K242" s="27"/>
      <c r="L242" s="27"/>
      <c r="M242" s="27"/>
    </row>
    <row r="243" spans="2:13" customFormat="1" ht="15" x14ac:dyDescent="0.25">
      <c r="B243" s="215" t="s">
        <v>68</v>
      </c>
      <c r="C243" s="9">
        <f t="shared" ref="C243:H243" si="28">C211+C187+C151+C126+C104+C77+C48+C21</f>
        <v>172196.47</v>
      </c>
      <c r="D243" s="9">
        <f t="shared" si="28"/>
        <v>322377.19999999995</v>
      </c>
      <c r="E243" s="9">
        <f t="shared" si="28"/>
        <v>51394.17</v>
      </c>
      <c r="F243" s="9">
        <f t="shared" si="28"/>
        <v>50513.560000000005</v>
      </c>
      <c r="G243" s="9">
        <f t="shared" si="28"/>
        <v>37644.5</v>
      </c>
      <c r="H243" s="9">
        <f t="shared" si="28"/>
        <v>0</v>
      </c>
      <c r="I243" s="9">
        <f t="shared" si="25"/>
        <v>634125.9</v>
      </c>
      <c r="J243" s="27"/>
      <c r="K243" s="27"/>
      <c r="L243" s="27"/>
      <c r="M243" s="27"/>
    </row>
    <row r="244" spans="2:13" customFormat="1" ht="15" x14ac:dyDescent="0.25">
      <c r="B244" s="215" t="s">
        <v>69</v>
      </c>
      <c r="C244" s="9">
        <f>C212+C188+C152+C127+C105+C78+C49+C22</f>
        <v>71227.39</v>
      </c>
      <c r="D244" s="9">
        <f>D212+D188+D152+D127+D105+D78+D49+D22</f>
        <v>194479.13</v>
      </c>
      <c r="E244" s="9">
        <f>E212+E188+E152+E127+E105+E78+E49+E22</f>
        <v>256645.86000000002</v>
      </c>
      <c r="F244" s="9">
        <f>F212+F188+F152+F127+F105+F78+F49+F22</f>
        <v>440281.36</v>
      </c>
      <c r="G244" s="9">
        <f>G212+G188+G152+G127+G105+G78+G49+G22</f>
        <v>22877.74</v>
      </c>
      <c r="H244" s="9">
        <f>2873.92+219.76</f>
        <v>3093.6800000000003</v>
      </c>
      <c r="I244" s="9">
        <f t="shared" si="25"/>
        <v>988605.16</v>
      </c>
      <c r="J244" s="27"/>
      <c r="K244" s="27"/>
      <c r="L244" s="27"/>
      <c r="M244" s="27"/>
    </row>
    <row r="245" spans="2:13" customFormat="1" ht="15" x14ac:dyDescent="0.25">
      <c r="B245" s="215" t="s">
        <v>70</v>
      </c>
      <c r="C245" s="9">
        <v>3975.3</v>
      </c>
      <c r="D245" s="9">
        <f>D153+D106</f>
        <v>2025.5</v>
      </c>
      <c r="E245" s="9">
        <v>0</v>
      </c>
      <c r="F245" s="9">
        <v>0</v>
      </c>
      <c r="G245" s="9">
        <v>384</v>
      </c>
      <c r="H245" s="9">
        <v>0</v>
      </c>
      <c r="I245" s="9">
        <f t="shared" si="25"/>
        <v>6384.8</v>
      </c>
      <c r="J245" s="27"/>
      <c r="K245" s="27"/>
      <c r="L245" s="27"/>
      <c r="M245" s="27"/>
    </row>
    <row r="246" spans="2:13" customFormat="1" ht="15" x14ac:dyDescent="0.25">
      <c r="B246" s="215" t="s">
        <v>71</v>
      </c>
      <c r="C246" s="9">
        <f t="shared" ref="C246:H246" si="29">C213+C190+C154+C128+C107+C80+C51+C23</f>
        <v>38149.199999999997</v>
      </c>
      <c r="D246" s="9">
        <f t="shared" si="29"/>
        <v>161429.31000000003</v>
      </c>
      <c r="E246" s="9">
        <f t="shared" si="29"/>
        <v>6931.7200000000012</v>
      </c>
      <c r="F246" s="9">
        <f t="shared" si="29"/>
        <v>49530.78</v>
      </c>
      <c r="G246" s="9">
        <f t="shared" si="29"/>
        <v>13081.34</v>
      </c>
      <c r="H246" s="9">
        <f t="shared" si="29"/>
        <v>0</v>
      </c>
      <c r="I246" s="9">
        <f t="shared" si="25"/>
        <v>269122.35000000003</v>
      </c>
      <c r="J246" s="27"/>
      <c r="K246" s="27"/>
      <c r="L246" s="27"/>
      <c r="M246" s="27"/>
    </row>
    <row r="247" spans="2:13" customFormat="1" ht="15" x14ac:dyDescent="0.25">
      <c r="B247" s="215" t="s">
        <v>203</v>
      </c>
      <c r="C247" s="9">
        <v>3932.69</v>
      </c>
      <c r="D247" s="9">
        <v>44936.06</v>
      </c>
      <c r="E247" s="9">
        <v>493.44</v>
      </c>
      <c r="F247" s="9">
        <v>493.44</v>
      </c>
      <c r="G247" s="9">
        <v>0</v>
      </c>
      <c r="H247" s="9">
        <v>0</v>
      </c>
      <c r="I247" s="9">
        <f t="shared" si="25"/>
        <v>49855.630000000005</v>
      </c>
      <c r="J247" s="27"/>
      <c r="K247" s="27"/>
      <c r="L247" s="27"/>
      <c r="M247" s="27"/>
    </row>
    <row r="248" spans="2:13" customFormat="1" ht="15" x14ac:dyDescent="0.25">
      <c r="B248" s="215" t="s">
        <v>73</v>
      </c>
      <c r="C248" s="9">
        <v>134646.99</v>
      </c>
      <c r="D248" s="9">
        <f t="shared" ref="D248:H249" si="30">D215+D191+D156+D130+D108+D82+D53+D25</f>
        <v>227968.04</v>
      </c>
      <c r="E248" s="9">
        <f t="shared" si="30"/>
        <v>75816.170000000013</v>
      </c>
      <c r="F248" s="9">
        <f t="shared" si="30"/>
        <v>146812.56</v>
      </c>
      <c r="G248" s="9">
        <f t="shared" si="30"/>
        <v>22196.400000000001</v>
      </c>
      <c r="H248" s="9">
        <f t="shared" si="30"/>
        <v>0</v>
      </c>
      <c r="I248" s="9">
        <f t="shared" si="25"/>
        <v>607440.16</v>
      </c>
      <c r="J248" s="27"/>
      <c r="K248" s="27"/>
      <c r="L248" s="27"/>
      <c r="M248" s="27"/>
    </row>
    <row r="249" spans="2:13" customFormat="1" ht="15" x14ac:dyDescent="0.25">
      <c r="B249" s="213" t="s">
        <v>74</v>
      </c>
      <c r="C249" s="214">
        <f>C216+C192+C157+C131+C109+C83+C54+C26</f>
        <v>20647.490000000002</v>
      </c>
      <c r="D249" s="214">
        <f t="shared" si="30"/>
        <v>32541.449999999997</v>
      </c>
      <c r="E249" s="214">
        <f t="shared" si="30"/>
        <v>26863.59</v>
      </c>
      <c r="F249" s="214">
        <f t="shared" si="30"/>
        <v>32567.160000000003</v>
      </c>
      <c r="G249" s="214">
        <f t="shared" si="30"/>
        <v>4336.3500000000004</v>
      </c>
      <c r="H249" s="214">
        <f t="shared" si="30"/>
        <v>282.2</v>
      </c>
      <c r="I249" s="214">
        <f t="shared" si="25"/>
        <v>117238.24</v>
      </c>
      <c r="J249" s="27"/>
      <c r="K249" s="27"/>
      <c r="L249" s="27"/>
      <c r="M249" s="27"/>
    </row>
    <row r="250" spans="2:13" s="131" customFormat="1" ht="25.5" x14ac:dyDescent="0.25">
      <c r="B250" s="213" t="s">
        <v>213</v>
      </c>
      <c r="C250" s="241">
        <v>0</v>
      </c>
      <c r="D250" s="241">
        <v>0</v>
      </c>
      <c r="E250" s="241">
        <v>2665.2</v>
      </c>
      <c r="F250" s="241">
        <f>F217</f>
        <v>7900</v>
      </c>
      <c r="G250" s="241">
        <v>0</v>
      </c>
      <c r="H250" s="241">
        <v>0</v>
      </c>
      <c r="I250" s="241">
        <f>G250+H250+C250+D250+E250+F250</f>
        <v>10565.2</v>
      </c>
    </row>
    <row r="251" spans="2:13" customFormat="1" ht="15.75" thickBot="1" x14ac:dyDescent="0.3">
      <c r="B251" s="216" t="s">
        <v>198</v>
      </c>
      <c r="C251" s="217">
        <f>C56</f>
        <v>0</v>
      </c>
      <c r="D251" s="217">
        <f>D56</f>
        <v>4999.8999999999996</v>
      </c>
      <c r="E251" s="217">
        <v>0</v>
      </c>
      <c r="F251" s="217">
        <v>0</v>
      </c>
      <c r="G251" s="217">
        <v>0</v>
      </c>
      <c r="H251" s="217">
        <v>0</v>
      </c>
      <c r="I251" s="217">
        <f>G251+H251+C251+D251+E251+F251</f>
        <v>4999.8999999999996</v>
      </c>
      <c r="J251" s="27"/>
      <c r="K251" s="27"/>
      <c r="L251" s="27"/>
      <c r="M251" s="27"/>
    </row>
    <row r="252" spans="2:13" customFormat="1" ht="21" customHeight="1" thickTop="1" x14ac:dyDescent="0.25">
      <c r="B252" s="218" t="s">
        <v>137</v>
      </c>
      <c r="C252" s="208">
        <f t="shared" ref="C252:H252" si="31">C239+C240+C241+C249+C250+C251</f>
        <v>3145214.2</v>
      </c>
      <c r="D252" s="208">
        <f t="shared" si="31"/>
        <v>4969743.5599999996</v>
      </c>
      <c r="E252" s="208">
        <f t="shared" si="31"/>
        <v>704023.99999999988</v>
      </c>
      <c r="F252" s="208">
        <f t="shared" si="31"/>
        <v>1050645.1600000001</v>
      </c>
      <c r="G252" s="208">
        <f t="shared" si="31"/>
        <v>1019640.0399999999</v>
      </c>
      <c r="H252" s="208">
        <f t="shared" si="31"/>
        <v>3375.88</v>
      </c>
      <c r="I252" s="208">
        <f>C252+D252+E252+F252+G252+H252</f>
        <v>10892642.84</v>
      </c>
      <c r="J252" s="27"/>
      <c r="K252" s="152"/>
      <c r="L252" s="152"/>
      <c r="M252" s="27"/>
    </row>
    <row r="253" spans="2:13" customFormat="1" ht="15" x14ac:dyDescent="0.25">
      <c r="B253" s="27"/>
      <c r="C253" s="152"/>
      <c r="D253" s="152"/>
      <c r="E253" s="27"/>
      <c r="F253" s="27"/>
      <c r="G253" s="152"/>
      <c r="H253" s="152"/>
      <c r="I253" s="27"/>
      <c r="J253" s="27"/>
      <c r="K253" s="27"/>
      <c r="L253" s="27"/>
      <c r="M253" s="27"/>
    </row>
    <row r="254" spans="2:13" customFormat="1" ht="15" x14ac:dyDescent="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2:13" customFormat="1" ht="18" x14ac:dyDescent="0.25">
      <c r="B255" s="196" t="s">
        <v>214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7" spans="2:13" customFormat="1" ht="21.75" customHeight="1" thickBot="1" x14ac:dyDescent="0.3">
      <c r="B257" s="674" t="s">
        <v>141</v>
      </c>
      <c r="C257" s="674"/>
      <c r="D257" s="674"/>
      <c r="E257" s="674"/>
      <c r="F257" s="27"/>
      <c r="G257" s="27"/>
      <c r="H257" s="27"/>
      <c r="I257" s="27"/>
      <c r="J257" s="27"/>
      <c r="K257" s="27"/>
      <c r="L257" s="27"/>
      <c r="M257" s="27"/>
    </row>
    <row r="258" spans="2:13" customFormat="1" ht="15.75" thickTop="1" x14ac:dyDescent="0.25">
      <c r="B258" s="677" t="s">
        <v>183</v>
      </c>
      <c r="C258" s="677"/>
      <c r="D258" s="677"/>
      <c r="E258" s="198">
        <v>173.2</v>
      </c>
      <c r="F258" s="27"/>
      <c r="G258" s="27"/>
      <c r="H258" s="27"/>
      <c r="I258" s="27"/>
      <c r="J258" s="27"/>
      <c r="K258" s="27"/>
      <c r="L258" s="27"/>
      <c r="M258" s="27"/>
    </row>
    <row r="259" spans="2:13" customFormat="1" ht="15" x14ac:dyDescent="0.25">
      <c r="B259" s="672" t="s">
        <v>215</v>
      </c>
      <c r="C259" s="672"/>
      <c r="D259" s="672"/>
      <c r="E259" s="9">
        <v>87071.02</v>
      </c>
      <c r="F259" s="27"/>
      <c r="G259" s="27"/>
      <c r="H259" s="27"/>
      <c r="I259" s="27"/>
      <c r="J259" s="27"/>
      <c r="K259" s="27"/>
      <c r="L259" s="27"/>
      <c r="M259" s="27"/>
    </row>
    <row r="260" spans="2:13" customFormat="1" ht="15" x14ac:dyDescent="0.25">
      <c r="B260" s="669" t="s">
        <v>54</v>
      </c>
      <c r="C260" s="669"/>
      <c r="D260" s="669"/>
      <c r="E260" s="199">
        <v>48.02</v>
      </c>
      <c r="F260" s="124"/>
      <c r="G260" s="124"/>
      <c r="H260" s="27"/>
      <c r="I260" s="27"/>
      <c r="J260" s="27"/>
      <c r="K260" s="27"/>
      <c r="L260" s="27"/>
      <c r="M260" s="27"/>
    </row>
    <row r="261" spans="2:13" customFormat="1" ht="15.75" thickBot="1" x14ac:dyDescent="0.3">
      <c r="B261" s="244" t="s">
        <v>186</v>
      </c>
      <c r="C261" s="245"/>
      <c r="D261" s="246"/>
      <c r="E261" s="207">
        <v>3972.72</v>
      </c>
      <c r="F261" s="124"/>
      <c r="G261" s="124"/>
      <c r="H261" s="27"/>
      <c r="I261" s="27"/>
      <c r="J261" s="27"/>
      <c r="K261" s="27"/>
      <c r="L261" s="27"/>
      <c r="M261" s="27"/>
    </row>
    <row r="262" spans="2:13" s="124" customFormat="1" ht="21.75" customHeight="1" thickTop="1" x14ac:dyDescent="0.2">
      <c r="B262" s="673" t="s">
        <v>137</v>
      </c>
      <c r="C262" s="673"/>
      <c r="D262" s="673"/>
      <c r="E262" s="247">
        <f>SUM(E258:E261)</f>
        <v>91264.960000000006</v>
      </c>
      <c r="F262" s="27"/>
      <c r="G262" s="27"/>
    </row>
    <row r="264" spans="2:13" customFormat="1" ht="36.75" thickBot="1" x14ac:dyDescent="0.3">
      <c r="B264" s="197" t="s">
        <v>58</v>
      </c>
      <c r="C264" s="209" t="s">
        <v>216</v>
      </c>
      <c r="D264" s="248"/>
      <c r="E264" s="249"/>
      <c r="F264" s="249"/>
      <c r="G264" s="133"/>
      <c r="H264" s="27"/>
      <c r="I264" s="27"/>
      <c r="J264" s="27"/>
      <c r="K264" s="27"/>
      <c r="L264" s="27"/>
      <c r="M264" s="27"/>
    </row>
    <row r="265" spans="2:13" customFormat="1" ht="15.75" thickTop="1" x14ac:dyDescent="0.25">
      <c r="B265" s="211" t="s">
        <v>65</v>
      </c>
      <c r="C265" s="212">
        <v>680771.15</v>
      </c>
      <c r="D265" s="250"/>
      <c r="E265" s="152"/>
      <c r="F265" s="152"/>
      <c r="G265" s="27"/>
      <c r="H265" s="27"/>
      <c r="I265" s="27"/>
      <c r="J265" s="27"/>
      <c r="K265" s="27"/>
      <c r="L265" s="27"/>
      <c r="M265" s="27"/>
    </row>
    <row r="266" spans="2:13" s="133" customFormat="1" x14ac:dyDescent="0.2">
      <c r="B266" s="213" t="s">
        <v>66</v>
      </c>
      <c r="C266" s="214">
        <v>231780.3</v>
      </c>
      <c r="D266" s="250"/>
      <c r="E266" s="152"/>
      <c r="F266" s="152"/>
      <c r="G266" s="27"/>
    </row>
    <row r="267" spans="2:13" customFormat="1" ht="15" x14ac:dyDescent="0.25">
      <c r="B267" s="213" t="s">
        <v>67</v>
      </c>
      <c r="C267" s="214">
        <f>SUM(C268:C273)</f>
        <v>117369.07</v>
      </c>
      <c r="D267" s="250"/>
      <c r="E267" s="152"/>
      <c r="F267" s="152"/>
      <c r="G267" s="27"/>
      <c r="H267" s="27"/>
      <c r="I267" s="27"/>
      <c r="J267" s="27"/>
      <c r="K267" s="27"/>
      <c r="L267" s="27"/>
      <c r="M267" s="27"/>
    </row>
    <row r="268" spans="2:13" customFormat="1" ht="15" x14ac:dyDescent="0.25">
      <c r="B268" s="215" t="s">
        <v>89</v>
      </c>
      <c r="C268" s="9">
        <v>451</v>
      </c>
      <c r="D268" s="250"/>
      <c r="E268" s="152"/>
      <c r="F268" s="152"/>
      <c r="G268" s="27"/>
      <c r="H268" s="27"/>
      <c r="I268" s="27"/>
      <c r="J268" s="27"/>
      <c r="K268" s="27"/>
      <c r="L268" s="27"/>
      <c r="M268" s="27"/>
    </row>
    <row r="269" spans="2:13" customFormat="1" ht="15" x14ac:dyDescent="0.25">
      <c r="B269" s="215" t="s">
        <v>68</v>
      </c>
      <c r="C269" s="9">
        <v>22809.65</v>
      </c>
      <c r="D269" s="250"/>
      <c r="E269" s="152"/>
      <c r="F269" s="152"/>
      <c r="G269" s="27"/>
      <c r="H269" s="27"/>
      <c r="I269" s="27"/>
      <c r="J269" s="27"/>
      <c r="K269" s="27"/>
      <c r="L269" s="27"/>
      <c r="M269" s="27"/>
    </row>
    <row r="270" spans="2:13" customFormat="1" ht="15" x14ac:dyDescent="0.25">
      <c r="B270" s="215" t="s">
        <v>69</v>
      </c>
      <c r="C270" s="9">
        <v>33629.07</v>
      </c>
      <c r="D270" s="250"/>
      <c r="E270" s="152"/>
      <c r="F270" s="152"/>
      <c r="G270" s="27"/>
      <c r="H270" s="27"/>
      <c r="I270" s="27"/>
      <c r="J270" s="27"/>
      <c r="K270" s="27"/>
      <c r="L270" s="27"/>
      <c r="M270" s="27"/>
    </row>
    <row r="271" spans="2:13" customFormat="1" ht="15" x14ac:dyDescent="0.25">
      <c r="B271" s="215" t="s">
        <v>71</v>
      </c>
      <c r="C271" s="9">
        <v>17099.97</v>
      </c>
      <c r="D271" s="250"/>
      <c r="E271" s="152"/>
      <c r="F271" s="152"/>
      <c r="G271" s="27"/>
      <c r="H271" s="27"/>
      <c r="I271" s="27"/>
      <c r="J271" s="27"/>
      <c r="K271" s="27"/>
      <c r="L271" s="27"/>
      <c r="M271" s="27"/>
    </row>
    <row r="272" spans="2:13" customFormat="1" ht="15" x14ac:dyDescent="0.25">
      <c r="B272" s="215" t="s">
        <v>72</v>
      </c>
      <c r="C272" s="9">
        <v>165.6</v>
      </c>
      <c r="D272" s="250"/>
      <c r="E272" s="152"/>
      <c r="F272" s="152"/>
      <c r="G272" s="27"/>
      <c r="H272" s="27"/>
      <c r="I272" s="27"/>
      <c r="J272" s="27"/>
      <c r="K272" s="27"/>
      <c r="L272" s="27"/>
      <c r="M272" s="27"/>
    </row>
    <row r="273" spans="2:13" customFormat="1" ht="15" x14ac:dyDescent="0.25">
      <c r="B273" s="215" t="s">
        <v>73</v>
      </c>
      <c r="C273" s="9">
        <v>43213.78</v>
      </c>
      <c r="D273" s="250"/>
      <c r="E273" s="152"/>
      <c r="F273" s="152"/>
      <c r="G273" s="27"/>
      <c r="H273" s="27"/>
      <c r="I273" s="27"/>
      <c r="J273" s="27"/>
      <c r="K273" s="27"/>
      <c r="L273" s="27"/>
      <c r="M273" s="27"/>
    </row>
    <row r="274" spans="2:13" customFormat="1" ht="15.75" thickBot="1" x14ac:dyDescent="0.3">
      <c r="B274" s="216" t="s">
        <v>74</v>
      </c>
      <c r="C274" s="217">
        <v>3533.03</v>
      </c>
      <c r="D274" s="250"/>
      <c r="E274" s="152"/>
      <c r="F274" s="152"/>
      <c r="G274" s="27"/>
      <c r="H274" s="27"/>
      <c r="I274" s="27"/>
      <c r="J274" s="27"/>
      <c r="K274" s="27"/>
      <c r="L274" s="27"/>
      <c r="M274" s="27"/>
    </row>
    <row r="275" spans="2:13" customFormat="1" ht="19.5" customHeight="1" thickTop="1" x14ac:dyDescent="0.25">
      <c r="B275" s="251" t="s">
        <v>137</v>
      </c>
      <c r="C275" s="247">
        <f>C265+C266+C267+C274</f>
        <v>1033453.55</v>
      </c>
      <c r="D275" s="252"/>
      <c r="E275" s="66"/>
      <c r="F275" s="66"/>
      <c r="G275" s="219"/>
      <c r="H275" s="27"/>
      <c r="I275" s="27"/>
      <c r="J275" s="27"/>
      <c r="K275" s="27"/>
      <c r="L275" s="27"/>
      <c r="M275" s="27"/>
    </row>
    <row r="276" spans="2:13" customFormat="1" ht="15" x14ac:dyDescent="0.2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2:13" customFormat="1" ht="15" x14ac:dyDescent="0.2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2:13" customFormat="1" ht="18" x14ac:dyDescent="0.25">
      <c r="B278" s="196" t="s">
        <v>217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80" spans="2:13" customFormat="1" ht="18" customHeight="1" thickBot="1" x14ac:dyDescent="0.3">
      <c r="B280" s="674" t="s">
        <v>141</v>
      </c>
      <c r="C280" s="674"/>
      <c r="D280" s="674"/>
      <c r="E280" s="674"/>
      <c r="F280" s="27"/>
      <c r="G280" s="27"/>
      <c r="H280" s="27"/>
      <c r="I280" s="27"/>
      <c r="J280" s="27"/>
      <c r="K280" s="27"/>
      <c r="L280" s="27"/>
      <c r="M280" s="27"/>
    </row>
    <row r="281" spans="2:13" customFormat="1" ht="15" customHeight="1" thickTop="1" x14ac:dyDescent="0.25">
      <c r="B281" s="675" t="s">
        <v>218</v>
      </c>
      <c r="C281" s="675"/>
      <c r="D281" s="675"/>
      <c r="E281" s="198">
        <v>5178.7</v>
      </c>
      <c r="F281" s="27"/>
      <c r="G281" s="27"/>
      <c r="H281" s="27"/>
      <c r="I281" s="27"/>
      <c r="J281" s="27"/>
      <c r="K281" s="27"/>
      <c r="L281" s="27"/>
      <c r="M281" s="27"/>
    </row>
    <row r="282" spans="2:13" customFormat="1" ht="15" customHeight="1" x14ac:dyDescent="0.25">
      <c r="B282" s="676" t="s">
        <v>186</v>
      </c>
      <c r="C282" s="676"/>
      <c r="D282" s="676"/>
      <c r="E282" s="9">
        <v>102.95</v>
      </c>
      <c r="F282" s="27"/>
      <c r="G282" s="27"/>
      <c r="H282" s="27"/>
      <c r="I282" s="27"/>
      <c r="J282" s="27"/>
      <c r="K282" s="27"/>
      <c r="L282" s="27"/>
      <c r="M282" s="27"/>
    </row>
    <row r="283" spans="2:13" customFormat="1" ht="15" x14ac:dyDescent="0.25">
      <c r="B283" s="669" t="s">
        <v>187</v>
      </c>
      <c r="C283" s="669"/>
      <c r="D283" s="669"/>
      <c r="E283" s="199">
        <v>450</v>
      </c>
      <c r="F283" s="124"/>
      <c r="G283" s="124"/>
      <c r="H283" s="27"/>
      <c r="I283" s="27"/>
      <c r="J283" s="27"/>
      <c r="K283" s="27"/>
      <c r="L283" s="27"/>
      <c r="M283" s="27"/>
    </row>
    <row r="284" spans="2:13" customFormat="1" ht="15.75" thickBot="1" x14ac:dyDescent="0.3">
      <c r="B284" s="670" t="s">
        <v>219</v>
      </c>
      <c r="C284" s="670"/>
      <c r="D284" s="670"/>
      <c r="E284" s="227">
        <v>8120</v>
      </c>
      <c r="F284" s="27"/>
      <c r="G284" s="27"/>
      <c r="H284" s="27"/>
      <c r="I284" s="27"/>
      <c r="J284" s="27"/>
      <c r="K284" s="27"/>
      <c r="L284" s="27"/>
      <c r="M284" s="27"/>
    </row>
    <row r="285" spans="2:13" s="124" customFormat="1" ht="15.75" thickTop="1" x14ac:dyDescent="0.25">
      <c r="B285" s="671" t="s">
        <v>137</v>
      </c>
      <c r="C285" s="671"/>
      <c r="D285" s="671"/>
      <c r="E285" s="253">
        <f>SUM(E281:E284)</f>
        <v>13851.65</v>
      </c>
      <c r="F285" s="27"/>
      <c r="G285" s="27"/>
    </row>
    <row r="287" spans="2:13" customFormat="1" ht="36.75" thickBot="1" x14ac:dyDescent="0.3">
      <c r="B287" s="197" t="s">
        <v>58</v>
      </c>
      <c r="C287" s="209" t="s">
        <v>216</v>
      </c>
      <c r="D287" s="248"/>
      <c r="E287" s="249"/>
      <c r="F287" s="249"/>
      <c r="G287" s="133"/>
      <c r="H287" s="27"/>
      <c r="I287" s="27"/>
      <c r="J287" s="27"/>
      <c r="K287" s="27"/>
      <c r="L287" s="27"/>
      <c r="M287" s="27"/>
    </row>
    <row r="288" spans="2:13" customFormat="1" ht="15.75" thickTop="1" x14ac:dyDescent="0.25">
      <c r="B288" s="211" t="s">
        <v>65</v>
      </c>
      <c r="C288" s="212">
        <v>90125.65</v>
      </c>
      <c r="D288" s="250"/>
      <c r="E288" s="152"/>
      <c r="F288" s="152"/>
      <c r="G288" s="27"/>
      <c r="H288" s="27"/>
      <c r="I288" s="27"/>
      <c r="J288" s="27"/>
      <c r="K288" s="27"/>
      <c r="L288" s="27"/>
      <c r="M288" s="27"/>
    </row>
    <row r="289" spans="2:13" s="133" customFormat="1" x14ac:dyDescent="0.2">
      <c r="B289" s="213" t="s">
        <v>66</v>
      </c>
      <c r="C289" s="214">
        <v>34334.449999999997</v>
      </c>
      <c r="D289" s="250"/>
      <c r="E289" s="152"/>
      <c r="F289" s="152"/>
      <c r="G289" s="27"/>
    </row>
    <row r="290" spans="2:13" customFormat="1" ht="15" x14ac:dyDescent="0.25">
      <c r="B290" s="213" t="s">
        <v>67</v>
      </c>
      <c r="C290" s="214">
        <f>SUM(C291:C297)</f>
        <v>57766.14</v>
      </c>
      <c r="D290" s="250"/>
      <c r="E290" s="152"/>
      <c r="F290" s="152"/>
      <c r="G290" s="27"/>
      <c r="H290" s="27"/>
      <c r="I290" s="27"/>
      <c r="J290" s="27"/>
      <c r="K290" s="27"/>
      <c r="L290" s="27"/>
      <c r="M290" s="27"/>
    </row>
    <row r="291" spans="2:13" customFormat="1" ht="15" x14ac:dyDescent="0.25">
      <c r="B291" s="215" t="s">
        <v>89</v>
      </c>
      <c r="C291" s="9">
        <v>63.06</v>
      </c>
      <c r="D291" s="250"/>
      <c r="E291" s="152"/>
      <c r="F291" s="152"/>
      <c r="G291" s="27"/>
      <c r="H291" s="27"/>
      <c r="I291" s="27"/>
      <c r="J291" s="27"/>
      <c r="K291" s="27"/>
      <c r="L291" s="27"/>
      <c r="M291" s="27"/>
    </row>
    <row r="292" spans="2:13" customFormat="1" ht="15" x14ac:dyDescent="0.25">
      <c r="B292" s="215" t="s">
        <v>68</v>
      </c>
      <c r="C292" s="9">
        <v>7156.83</v>
      </c>
      <c r="D292" s="250"/>
      <c r="E292" s="152"/>
      <c r="F292" s="152"/>
      <c r="G292" s="27"/>
      <c r="H292" s="27"/>
      <c r="I292" s="27"/>
      <c r="J292" s="27"/>
      <c r="K292" s="27"/>
      <c r="L292" s="27"/>
      <c r="M292" s="27"/>
    </row>
    <row r="293" spans="2:13" customFormat="1" ht="15" x14ac:dyDescent="0.25">
      <c r="B293" s="215" t="s">
        <v>69</v>
      </c>
      <c r="C293" s="9">
        <v>16818.03</v>
      </c>
      <c r="D293" s="250"/>
      <c r="E293" s="152"/>
      <c r="F293" s="152"/>
      <c r="G293" s="27"/>
      <c r="H293" s="27"/>
      <c r="I293" s="27"/>
      <c r="J293" s="27"/>
      <c r="K293" s="27"/>
      <c r="L293" s="27"/>
      <c r="M293" s="27"/>
    </row>
    <row r="294" spans="2:13" customFormat="1" ht="15" x14ac:dyDescent="0.25">
      <c r="B294" s="215" t="s">
        <v>70</v>
      </c>
      <c r="C294" s="9">
        <v>1455.6</v>
      </c>
      <c r="D294" s="250"/>
      <c r="E294" s="152"/>
      <c r="F294" s="152"/>
      <c r="G294" s="27"/>
      <c r="H294" s="27"/>
      <c r="I294" s="27"/>
      <c r="J294" s="27"/>
      <c r="K294" s="27"/>
      <c r="L294" s="27"/>
      <c r="M294" s="27"/>
    </row>
    <row r="295" spans="2:13" customFormat="1" ht="15" x14ac:dyDescent="0.25">
      <c r="B295" s="215" t="s">
        <v>71</v>
      </c>
      <c r="C295" s="9">
        <v>3088.99</v>
      </c>
      <c r="D295" s="250"/>
      <c r="E295" s="152"/>
      <c r="F295" s="152"/>
      <c r="G295" s="27"/>
      <c r="H295" s="27"/>
      <c r="I295" s="27"/>
      <c r="J295" s="27"/>
      <c r="K295" s="27"/>
      <c r="L295" s="27"/>
      <c r="M295" s="27"/>
    </row>
    <row r="296" spans="2:13" customFormat="1" ht="15" x14ac:dyDescent="0.25">
      <c r="B296" s="215" t="s">
        <v>72</v>
      </c>
      <c r="C296" s="9">
        <v>205.2</v>
      </c>
      <c r="D296" s="250"/>
      <c r="E296" s="152"/>
      <c r="F296" s="152"/>
      <c r="G296" s="27"/>
      <c r="H296" s="27"/>
      <c r="I296" s="27"/>
      <c r="J296" s="27"/>
      <c r="K296" s="27"/>
      <c r="L296" s="27"/>
      <c r="M296" s="27"/>
    </row>
    <row r="297" spans="2:13" customFormat="1" ht="15" x14ac:dyDescent="0.25">
      <c r="B297" s="215" t="s">
        <v>73</v>
      </c>
      <c r="C297" s="9">
        <v>28978.43</v>
      </c>
      <c r="D297" s="252"/>
      <c r="E297" s="66"/>
      <c r="F297" s="66"/>
      <c r="G297" s="219"/>
      <c r="H297" s="27"/>
      <c r="I297" s="27"/>
      <c r="J297" s="27"/>
      <c r="K297" s="27"/>
      <c r="L297" s="27"/>
      <c r="M297" s="27"/>
    </row>
    <row r="298" spans="2:13" customFormat="1" ht="15.75" thickBot="1" x14ac:dyDescent="0.3">
      <c r="B298" s="216" t="s">
        <v>74</v>
      </c>
      <c r="C298" s="217">
        <v>982.65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2:13" customFormat="1" ht="21.75" customHeight="1" thickTop="1" x14ac:dyDescent="0.25">
      <c r="B299" s="251" t="s">
        <v>137</v>
      </c>
      <c r="C299" s="247">
        <f>C288+C289+C290+C298</f>
        <v>183208.88999999998</v>
      </c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</sheetData>
  <mergeCells count="81">
    <mergeCell ref="B34:D34"/>
    <mergeCell ref="B5:E5"/>
    <mergeCell ref="B6:D6"/>
    <mergeCell ref="B7:D7"/>
    <mergeCell ref="B8:D8"/>
    <mergeCell ref="B9:D9"/>
    <mergeCell ref="B12:D12"/>
    <mergeCell ref="B13:D13"/>
    <mergeCell ref="B14:D14"/>
    <mergeCell ref="B31:E31"/>
    <mergeCell ref="B32:D32"/>
    <mergeCell ref="B33:D33"/>
    <mergeCell ref="B70:D70"/>
    <mergeCell ref="B35:D35"/>
    <mergeCell ref="B36:D36"/>
    <mergeCell ref="B38:D38"/>
    <mergeCell ref="B39:D39"/>
    <mergeCell ref="B40:D40"/>
    <mergeCell ref="B41:D41"/>
    <mergeCell ref="B62:E62"/>
    <mergeCell ref="B63:D63"/>
    <mergeCell ref="B64:D64"/>
    <mergeCell ref="B65:D65"/>
    <mergeCell ref="B66:D66"/>
    <mergeCell ref="B118:D118"/>
    <mergeCell ref="B88:E88"/>
    <mergeCell ref="B89:D89"/>
    <mergeCell ref="B90:D90"/>
    <mergeCell ref="B91:D91"/>
    <mergeCell ref="B92:D92"/>
    <mergeCell ref="B93:D93"/>
    <mergeCell ref="B95:D95"/>
    <mergeCell ref="B96:D96"/>
    <mergeCell ref="B97:D97"/>
    <mergeCell ref="B116:E116"/>
    <mergeCell ref="B117:D117"/>
    <mergeCell ref="B172:D172"/>
    <mergeCell ref="B120:D120"/>
    <mergeCell ref="B136:E136"/>
    <mergeCell ref="B137:D137"/>
    <mergeCell ref="B138:D138"/>
    <mergeCell ref="B139:D139"/>
    <mergeCell ref="B140:D140"/>
    <mergeCell ref="B142:D142"/>
    <mergeCell ref="B143:D143"/>
    <mergeCell ref="B144:D144"/>
    <mergeCell ref="B145:D145"/>
    <mergeCell ref="B171:E171"/>
    <mergeCell ref="B225:E225"/>
    <mergeCell ref="B173:D173"/>
    <mergeCell ref="B174:D174"/>
    <mergeCell ref="B176:D176"/>
    <mergeCell ref="B180:D180"/>
    <mergeCell ref="B197:E197"/>
    <mergeCell ref="B198:D198"/>
    <mergeCell ref="B199:D199"/>
    <mergeCell ref="B200:D200"/>
    <mergeCell ref="B201:D201"/>
    <mergeCell ref="B203:D203"/>
    <mergeCell ref="B204:D204"/>
    <mergeCell ref="B258:D258"/>
    <mergeCell ref="B226:D226"/>
    <mergeCell ref="B227:D227"/>
    <mergeCell ref="B228:D228"/>
    <mergeCell ref="B229:D229"/>
    <mergeCell ref="B230:D230"/>
    <mergeCell ref="B231:D231"/>
    <mergeCell ref="B232:D232"/>
    <mergeCell ref="B234:D234"/>
    <mergeCell ref="B235:D235"/>
    <mergeCell ref="B236:D236"/>
    <mergeCell ref="B257:E257"/>
    <mergeCell ref="B283:D283"/>
    <mergeCell ref="B284:D284"/>
    <mergeCell ref="B285:D285"/>
    <mergeCell ref="B259:D259"/>
    <mergeCell ref="B260:D260"/>
    <mergeCell ref="B262:D262"/>
    <mergeCell ref="B280:E280"/>
    <mergeCell ref="B281:D281"/>
    <mergeCell ref="B282:D282"/>
  </mergeCells>
  <pageMargins left="0.15748031496063003" right="0.19685039370078702" top="0.19685039370078702" bottom="7.8740157480315029E-2" header="0.19685039370078702" footer="7.8740157480315029E-2"/>
  <pageSetup paperSize="9" scale="87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7"/>
  <sheetViews>
    <sheetView workbookViewId="0"/>
  </sheetViews>
  <sheetFormatPr defaultRowHeight="14.25" x14ac:dyDescent="0.2"/>
  <cols>
    <col min="1" max="1" width="1.5703125" style="1" customWidth="1"/>
    <col min="2" max="2" width="4.28515625" style="1" customWidth="1"/>
    <col min="3" max="3" width="6.28515625" style="1" customWidth="1"/>
    <col min="4" max="4" width="51" style="1" customWidth="1"/>
    <col min="5" max="5" width="60.7109375" style="1" customWidth="1"/>
    <col min="6" max="6" width="14.42578125" style="1" customWidth="1"/>
    <col min="7" max="7" width="14" style="1" customWidth="1"/>
    <col min="8" max="8" width="9.140625" style="1" customWidth="1"/>
    <col min="9" max="16384" width="9.140625" style="1"/>
  </cols>
  <sheetData>
    <row r="1" spans="3:7" customFormat="1" ht="15" x14ac:dyDescent="0.25">
      <c r="C1" s="1"/>
      <c r="D1" s="1"/>
      <c r="E1" s="1"/>
      <c r="F1" s="1"/>
      <c r="G1" s="1"/>
    </row>
    <row r="2" spans="3:7" customFormat="1" ht="18" x14ac:dyDescent="0.25">
      <c r="C2" s="660" t="s">
        <v>220</v>
      </c>
      <c r="D2" s="660"/>
      <c r="E2" s="660"/>
      <c r="F2" s="660"/>
      <c r="G2" s="121" t="s">
        <v>221</v>
      </c>
    </row>
    <row r="3" spans="3:7" customFormat="1" ht="6" customHeight="1" thickBot="1" x14ac:dyDescent="0.3">
      <c r="C3" s="254"/>
      <c r="D3" s="255"/>
      <c r="E3" s="255"/>
      <c r="F3" s="256"/>
      <c r="G3" s="1"/>
    </row>
    <row r="4" spans="3:7" customFormat="1" ht="33" customHeight="1" x14ac:dyDescent="0.25">
      <c r="C4" s="257" t="s">
        <v>222</v>
      </c>
      <c r="D4" s="3" t="s">
        <v>223</v>
      </c>
      <c r="E4" s="3" t="s">
        <v>224</v>
      </c>
      <c r="F4" s="258" t="s">
        <v>225</v>
      </c>
      <c r="G4" s="259" t="s">
        <v>226</v>
      </c>
    </row>
    <row r="5" spans="3:7" customFormat="1" ht="15" x14ac:dyDescent="0.25">
      <c r="C5" s="682" t="s">
        <v>227</v>
      </c>
      <c r="D5" s="682"/>
      <c r="E5" s="682"/>
      <c r="F5" s="241">
        <f>SUM(F6:F19)</f>
        <v>7504226.0999999996</v>
      </c>
      <c r="G5" s="261">
        <f>SUM(G6:G19)</f>
        <v>7447924.9799999995</v>
      </c>
    </row>
    <row r="6" spans="3:7" customFormat="1" ht="15" x14ac:dyDescent="0.25">
      <c r="C6" s="7">
        <v>1</v>
      </c>
      <c r="D6" s="262" t="s">
        <v>228</v>
      </c>
      <c r="E6" s="262" t="s">
        <v>229</v>
      </c>
      <c r="F6" s="263">
        <v>17059</v>
      </c>
      <c r="G6" s="264">
        <v>16605.060000000001</v>
      </c>
    </row>
    <row r="7" spans="3:7" customFormat="1" ht="15" x14ac:dyDescent="0.25">
      <c r="C7" s="7">
        <v>2</v>
      </c>
      <c r="D7" s="262" t="s">
        <v>228</v>
      </c>
      <c r="E7" s="262" t="s">
        <v>230</v>
      </c>
      <c r="F7" s="263">
        <v>73920</v>
      </c>
      <c r="G7" s="264">
        <v>73920</v>
      </c>
    </row>
    <row r="8" spans="3:7" customFormat="1" ht="15" x14ac:dyDescent="0.25">
      <c r="C8" s="7">
        <v>3</v>
      </c>
      <c r="D8" s="262" t="s">
        <v>228</v>
      </c>
      <c r="E8" s="262" t="s">
        <v>231</v>
      </c>
      <c r="F8" s="263">
        <v>94029.5</v>
      </c>
      <c r="G8" s="264">
        <v>94029.5</v>
      </c>
    </row>
    <row r="9" spans="3:7" customFormat="1" ht="15" x14ac:dyDescent="0.25">
      <c r="C9" s="7">
        <v>4</v>
      </c>
      <c r="D9" s="262" t="s">
        <v>228</v>
      </c>
      <c r="E9" s="262" t="s">
        <v>232</v>
      </c>
      <c r="F9" s="263">
        <v>15168</v>
      </c>
      <c r="G9" s="264">
        <v>15168</v>
      </c>
    </row>
    <row r="10" spans="3:7" customFormat="1" ht="15" x14ac:dyDescent="0.25">
      <c r="C10" s="7">
        <v>5</v>
      </c>
      <c r="D10" s="262" t="s">
        <v>228</v>
      </c>
      <c r="E10" s="262" t="s">
        <v>233</v>
      </c>
      <c r="F10" s="263">
        <v>7063454</v>
      </c>
      <c r="G10" s="264">
        <v>7016457.4000000004</v>
      </c>
    </row>
    <row r="11" spans="3:7" customFormat="1" ht="15" x14ac:dyDescent="0.25">
      <c r="C11" s="7">
        <v>6</v>
      </c>
      <c r="D11" s="262" t="s">
        <v>228</v>
      </c>
      <c r="E11" s="262" t="s">
        <v>234</v>
      </c>
      <c r="F11" s="263">
        <v>2300</v>
      </c>
      <c r="G11" s="264">
        <v>2300</v>
      </c>
    </row>
    <row r="12" spans="3:7" customFormat="1" ht="15" x14ac:dyDescent="0.25">
      <c r="C12" s="7">
        <v>7</v>
      </c>
      <c r="D12" s="262" t="s">
        <v>228</v>
      </c>
      <c r="E12" s="262" t="s">
        <v>235</v>
      </c>
      <c r="F12" s="263">
        <v>3400</v>
      </c>
      <c r="G12" s="264">
        <v>3400</v>
      </c>
    </row>
    <row r="13" spans="3:7" customFormat="1" ht="15" x14ac:dyDescent="0.25">
      <c r="C13" s="7">
        <v>8</v>
      </c>
      <c r="D13" s="262" t="s">
        <v>228</v>
      </c>
      <c r="E13" s="262" t="s">
        <v>236</v>
      </c>
      <c r="F13" s="263">
        <v>1730</v>
      </c>
      <c r="G13" s="264">
        <v>1730</v>
      </c>
    </row>
    <row r="14" spans="3:7" customFormat="1" ht="15" x14ac:dyDescent="0.25">
      <c r="C14" s="7">
        <v>9</v>
      </c>
      <c r="D14" s="262" t="s">
        <v>228</v>
      </c>
      <c r="E14" s="262" t="s">
        <v>237</v>
      </c>
      <c r="F14" s="263">
        <v>84152</v>
      </c>
      <c r="G14" s="264">
        <v>80009.31</v>
      </c>
    </row>
    <row r="15" spans="3:7" customFormat="1" ht="15" x14ac:dyDescent="0.25">
      <c r="C15" s="7">
        <v>10</v>
      </c>
      <c r="D15" s="262" t="s">
        <v>228</v>
      </c>
      <c r="E15" s="262" t="s">
        <v>238</v>
      </c>
      <c r="F15" s="263">
        <v>44250</v>
      </c>
      <c r="G15" s="264">
        <v>41542.11</v>
      </c>
    </row>
    <row r="16" spans="3:7" customFormat="1" ht="15" x14ac:dyDescent="0.25">
      <c r="C16" s="7">
        <v>11</v>
      </c>
      <c r="D16" s="262" t="s">
        <v>228</v>
      </c>
      <c r="E16" s="262" t="s">
        <v>239</v>
      </c>
      <c r="F16" s="263">
        <v>44400</v>
      </c>
      <c r="G16" s="264">
        <v>44400</v>
      </c>
    </row>
    <row r="17" spans="3:11" customFormat="1" ht="15" x14ac:dyDescent="0.25">
      <c r="C17" s="7">
        <v>12</v>
      </c>
      <c r="D17" s="262" t="s">
        <v>240</v>
      </c>
      <c r="E17" s="262" t="s">
        <v>241</v>
      </c>
      <c r="F17" s="263">
        <v>2000</v>
      </c>
      <c r="G17" s="264">
        <v>0</v>
      </c>
    </row>
    <row r="18" spans="3:11" customFormat="1" ht="15" x14ac:dyDescent="0.25">
      <c r="C18" s="7">
        <v>13</v>
      </c>
      <c r="D18" s="262" t="s">
        <v>228</v>
      </c>
      <c r="E18" s="262" t="s">
        <v>242</v>
      </c>
      <c r="F18" s="263">
        <v>57600</v>
      </c>
      <c r="G18" s="264">
        <v>57600</v>
      </c>
    </row>
    <row r="19" spans="3:11" customFormat="1" ht="15" x14ac:dyDescent="0.25">
      <c r="C19" s="7">
        <v>14</v>
      </c>
      <c r="D19" s="262" t="s">
        <v>243</v>
      </c>
      <c r="E19" s="262" t="s">
        <v>244</v>
      </c>
      <c r="F19" s="263">
        <v>763.6</v>
      </c>
      <c r="G19" s="264">
        <v>763.6</v>
      </c>
    </row>
    <row r="20" spans="3:11" customFormat="1" ht="15" x14ac:dyDescent="0.25">
      <c r="C20" s="7">
        <v>15</v>
      </c>
      <c r="D20" s="262" t="s">
        <v>243</v>
      </c>
      <c r="E20" s="262" t="s">
        <v>245</v>
      </c>
      <c r="F20" s="263">
        <v>3837.88</v>
      </c>
      <c r="G20" s="264">
        <v>3837.88</v>
      </c>
    </row>
    <row r="21" spans="3:11" customFormat="1" ht="15" x14ac:dyDescent="0.25">
      <c r="C21" s="683" t="s">
        <v>246</v>
      </c>
      <c r="D21" s="683"/>
      <c r="E21" s="683"/>
      <c r="F21" s="265">
        <f>SUM(F22:F40)</f>
        <v>1089757.9599999997</v>
      </c>
      <c r="G21" s="266">
        <f>SUM(G22:G40)</f>
        <v>1080622.5899999999</v>
      </c>
    </row>
    <row r="22" spans="3:11" customFormat="1" ht="15" x14ac:dyDescent="0.25">
      <c r="C22" s="7">
        <v>15</v>
      </c>
      <c r="D22" s="267" t="s">
        <v>228</v>
      </c>
      <c r="E22" s="267" t="s">
        <v>247</v>
      </c>
      <c r="F22" s="268">
        <v>8525.31</v>
      </c>
      <c r="G22" s="269">
        <v>8525.31</v>
      </c>
      <c r="I22" s="270"/>
      <c r="J22" s="270"/>
      <c r="K22" s="270"/>
    </row>
    <row r="23" spans="3:11" customFormat="1" ht="15" x14ac:dyDescent="0.25">
      <c r="C23" s="7">
        <v>16</v>
      </c>
      <c r="D23" s="271" t="s">
        <v>248</v>
      </c>
      <c r="E23" s="272" t="s">
        <v>249</v>
      </c>
      <c r="F23" s="273">
        <v>24420.82</v>
      </c>
      <c r="G23" s="274">
        <v>24420.82</v>
      </c>
      <c r="I23" s="270"/>
      <c r="J23" s="270"/>
      <c r="K23" s="270"/>
    </row>
    <row r="24" spans="3:11" customFormat="1" ht="15" x14ac:dyDescent="0.25">
      <c r="C24" s="7">
        <v>17</v>
      </c>
      <c r="D24" s="267" t="s">
        <v>228</v>
      </c>
      <c r="E24" s="275" t="s">
        <v>250</v>
      </c>
      <c r="F24" s="273">
        <v>5282.53</v>
      </c>
      <c r="G24" s="274">
        <v>5282.53</v>
      </c>
      <c r="I24" s="270"/>
      <c r="J24" s="270"/>
      <c r="K24" s="270"/>
    </row>
    <row r="25" spans="3:11" s="67" customFormat="1" x14ac:dyDescent="0.25">
      <c r="C25" s="276">
        <v>18</v>
      </c>
      <c r="D25" s="277" t="s">
        <v>248</v>
      </c>
      <c r="E25" s="271" t="s">
        <v>251</v>
      </c>
      <c r="F25" s="278">
        <v>2401.62</v>
      </c>
      <c r="G25" s="279">
        <v>2401.62</v>
      </c>
      <c r="I25" s="280"/>
      <c r="J25" s="280"/>
      <c r="K25" s="280"/>
    </row>
    <row r="26" spans="3:11" s="67" customFormat="1" x14ac:dyDescent="0.2">
      <c r="C26" s="276">
        <v>19</v>
      </c>
      <c r="D26" s="277" t="s">
        <v>248</v>
      </c>
      <c r="E26" s="267" t="s">
        <v>252</v>
      </c>
      <c r="F26" s="268">
        <v>61708.23</v>
      </c>
      <c r="G26" s="269">
        <v>61708.23</v>
      </c>
      <c r="I26" s="281"/>
      <c r="J26" s="280"/>
      <c r="K26" s="280"/>
    </row>
    <row r="27" spans="3:11" s="67" customFormat="1" x14ac:dyDescent="0.2">
      <c r="C27" s="276">
        <v>20</v>
      </c>
      <c r="D27" s="277" t="s">
        <v>248</v>
      </c>
      <c r="E27" s="267" t="s">
        <v>253</v>
      </c>
      <c r="F27" s="268">
        <v>784638</v>
      </c>
      <c r="G27" s="269">
        <v>784638</v>
      </c>
      <c r="I27" s="280"/>
      <c r="J27" s="280"/>
      <c r="K27" s="280"/>
    </row>
    <row r="28" spans="3:11" customFormat="1" ht="15" x14ac:dyDescent="0.25">
      <c r="C28" s="7">
        <v>21</v>
      </c>
      <c r="D28" s="267" t="s">
        <v>254</v>
      </c>
      <c r="E28" s="267" t="s">
        <v>255</v>
      </c>
      <c r="F28" s="268">
        <v>9000</v>
      </c>
      <c r="G28" s="269">
        <v>9000</v>
      </c>
      <c r="I28" s="270"/>
      <c r="J28" s="270"/>
      <c r="K28" s="270"/>
    </row>
    <row r="29" spans="3:11" customFormat="1" ht="15" x14ac:dyDescent="0.25">
      <c r="C29" s="7">
        <v>22</v>
      </c>
      <c r="D29" s="267" t="s">
        <v>256</v>
      </c>
      <c r="E29" s="267" t="s">
        <v>257</v>
      </c>
      <c r="F29" s="268">
        <v>100355.68</v>
      </c>
      <c r="G29" s="269">
        <v>96108.37999999999</v>
      </c>
    </row>
    <row r="30" spans="3:11" customFormat="1" ht="15" x14ac:dyDescent="0.25">
      <c r="C30" s="7">
        <v>23</v>
      </c>
      <c r="D30" s="267" t="s">
        <v>256</v>
      </c>
      <c r="E30" s="267" t="s">
        <v>258</v>
      </c>
      <c r="F30" s="268">
        <v>525.20000000000005</v>
      </c>
      <c r="G30" s="269">
        <v>525.20000000000005</v>
      </c>
    </row>
    <row r="31" spans="3:11" customFormat="1" ht="15" x14ac:dyDescent="0.25">
      <c r="C31" s="7">
        <v>24</v>
      </c>
      <c r="D31" s="267" t="s">
        <v>256</v>
      </c>
      <c r="E31" s="267" t="s">
        <v>259</v>
      </c>
      <c r="F31" s="282">
        <v>18345.689999999999</v>
      </c>
      <c r="G31" s="269">
        <v>18345.689999999999</v>
      </c>
    </row>
    <row r="32" spans="3:11" customFormat="1" ht="15" x14ac:dyDescent="0.25">
      <c r="C32" s="7">
        <v>25</v>
      </c>
      <c r="D32" s="267" t="s">
        <v>228</v>
      </c>
      <c r="E32" s="267" t="s">
        <v>260</v>
      </c>
      <c r="F32" s="268">
        <v>30306.25</v>
      </c>
      <c r="G32" s="269">
        <v>25512.9</v>
      </c>
    </row>
    <row r="33" spans="3:9" customFormat="1" ht="15" x14ac:dyDescent="0.25">
      <c r="C33" s="7">
        <v>26</v>
      </c>
      <c r="D33" s="267" t="s">
        <v>243</v>
      </c>
      <c r="E33" s="267" t="s">
        <v>261</v>
      </c>
      <c r="F33" s="268">
        <v>6659.46</v>
      </c>
      <c r="G33" s="269">
        <v>6564.74</v>
      </c>
    </row>
    <row r="34" spans="3:9" customFormat="1" ht="15" x14ac:dyDescent="0.25">
      <c r="C34" s="7">
        <v>27</v>
      </c>
      <c r="D34" s="267" t="s">
        <v>262</v>
      </c>
      <c r="E34" s="267" t="s">
        <v>263</v>
      </c>
      <c r="F34" s="268">
        <v>12755.78</v>
      </c>
      <c r="G34" s="269">
        <v>12755.78</v>
      </c>
      <c r="H34" s="1"/>
      <c r="I34" s="1"/>
    </row>
    <row r="35" spans="3:9" customFormat="1" ht="15" x14ac:dyDescent="0.25">
      <c r="C35" s="7">
        <v>28</v>
      </c>
      <c r="D35" s="267" t="s">
        <v>264</v>
      </c>
      <c r="E35" s="267" t="s">
        <v>265</v>
      </c>
      <c r="F35" s="268">
        <v>258.2</v>
      </c>
      <c r="G35" s="269">
        <v>258.2</v>
      </c>
      <c r="H35" s="1"/>
      <c r="I35" s="1"/>
    </row>
    <row r="36" spans="3:9" customFormat="1" ht="15" x14ac:dyDescent="0.25">
      <c r="C36" s="7">
        <v>29</v>
      </c>
      <c r="D36" s="267" t="s">
        <v>266</v>
      </c>
      <c r="E36" s="283" t="s">
        <v>267</v>
      </c>
      <c r="F36" s="268">
        <v>2975.19</v>
      </c>
      <c r="G36" s="269">
        <v>2975.19</v>
      </c>
      <c r="H36" s="1"/>
      <c r="I36" s="1"/>
    </row>
    <row r="37" spans="3:9" s="67" customFormat="1" x14ac:dyDescent="0.2">
      <c r="C37" s="276">
        <v>30</v>
      </c>
      <c r="D37" s="267" t="s">
        <v>266</v>
      </c>
      <c r="E37" s="283" t="s">
        <v>268</v>
      </c>
      <c r="F37" s="268">
        <v>1400</v>
      </c>
      <c r="G37" s="269">
        <v>1400</v>
      </c>
      <c r="I37" s="684"/>
    </row>
    <row r="38" spans="3:9" customFormat="1" ht="15" x14ac:dyDescent="0.25">
      <c r="C38" s="7">
        <v>31</v>
      </c>
      <c r="D38" s="267" t="s">
        <v>254</v>
      </c>
      <c r="E38" s="267" t="s">
        <v>269</v>
      </c>
      <c r="F38" s="268">
        <v>4700</v>
      </c>
      <c r="G38" s="269">
        <v>4700</v>
      </c>
      <c r="H38" s="1"/>
      <c r="I38" s="684"/>
    </row>
    <row r="39" spans="3:9" customFormat="1" ht="15" x14ac:dyDescent="0.25">
      <c r="C39" s="7">
        <v>32</v>
      </c>
      <c r="D39" s="267" t="s">
        <v>254</v>
      </c>
      <c r="E39" s="267" t="s">
        <v>270</v>
      </c>
      <c r="F39" s="268">
        <v>15000</v>
      </c>
      <c r="G39" s="269">
        <v>15000</v>
      </c>
      <c r="H39" s="1"/>
      <c r="I39" s="684"/>
    </row>
    <row r="40" spans="3:9" customFormat="1" ht="15" x14ac:dyDescent="0.25">
      <c r="C40" s="7">
        <v>33</v>
      </c>
      <c r="D40" s="267" t="s">
        <v>271</v>
      </c>
      <c r="E40" s="267" t="s">
        <v>272</v>
      </c>
      <c r="F40" s="268">
        <v>500</v>
      </c>
      <c r="G40" s="269">
        <v>500</v>
      </c>
      <c r="H40" s="1"/>
      <c r="I40" s="684"/>
    </row>
    <row r="41" spans="3:9" s="67" customFormat="1" ht="22.5" customHeight="1" thickBot="1" x14ac:dyDescent="0.3">
      <c r="C41" s="685" t="s">
        <v>137</v>
      </c>
      <c r="D41" s="685"/>
      <c r="E41" s="685"/>
      <c r="F41" s="284">
        <f>F21+F5</f>
        <v>8593984.0599999987</v>
      </c>
      <c r="G41" s="285">
        <f>G21+G5</f>
        <v>8528547.5700000003</v>
      </c>
      <c r="I41" s="684"/>
    </row>
    <row r="42" spans="3:9" customFormat="1" ht="56.25" customHeight="1" x14ac:dyDescent="0.25">
      <c r="C42" s="1"/>
      <c r="D42" s="1"/>
      <c r="E42" s="1"/>
      <c r="F42" s="1"/>
      <c r="G42" s="286"/>
      <c r="H42" s="1"/>
      <c r="I42" s="1"/>
    </row>
    <row r="43" spans="3:9" customFormat="1" ht="15" x14ac:dyDescent="0.25">
      <c r="C43" s="1"/>
      <c r="D43" s="1"/>
      <c r="E43" s="1"/>
      <c r="F43" s="1"/>
      <c r="G43" s="51"/>
      <c r="H43" s="1"/>
      <c r="I43" s="1"/>
    </row>
    <row r="44" spans="3:9" customFormat="1" ht="15" x14ac:dyDescent="0.25">
      <c r="C44" s="1"/>
      <c r="D44" s="1"/>
      <c r="E44" s="1"/>
      <c r="F44" s="287"/>
      <c r="G44" s="287"/>
      <c r="H44" s="1"/>
      <c r="I44" s="1"/>
    </row>
    <row r="45" spans="3:9" customFormat="1" ht="15" x14ac:dyDescent="0.25">
      <c r="C45" s="1"/>
      <c r="D45" s="1"/>
      <c r="E45" s="1"/>
      <c r="F45" s="51"/>
      <c r="G45" s="1"/>
      <c r="H45" s="1"/>
      <c r="I45" s="1"/>
    </row>
    <row r="46" spans="3:9" customFormat="1" ht="15" x14ac:dyDescent="0.25">
      <c r="C46" s="1"/>
      <c r="D46" s="1"/>
      <c r="E46" s="1"/>
      <c r="F46" s="51"/>
      <c r="G46" s="287"/>
      <c r="H46" s="1"/>
      <c r="I46" s="1"/>
    </row>
    <row r="47" spans="3:9" customFormat="1" ht="15" x14ac:dyDescent="0.25">
      <c r="C47" s="1"/>
      <c r="D47" s="1"/>
      <c r="E47" s="1"/>
      <c r="F47" s="1"/>
      <c r="G47" s="51"/>
      <c r="H47" s="1"/>
      <c r="I47" s="1"/>
    </row>
    <row r="57" spans="6:6" customFormat="1" ht="15" x14ac:dyDescent="0.25">
      <c r="F57" s="51"/>
    </row>
  </sheetData>
  <mergeCells count="5">
    <mergeCell ref="C2:F2"/>
    <mergeCell ref="C5:E5"/>
    <mergeCell ref="C21:E21"/>
    <mergeCell ref="I37:I41"/>
    <mergeCell ref="C41:E41"/>
  </mergeCells>
  <pageMargins left="0.59055118110236182" right="0.70866141732283516" top="0.15748031496063003" bottom="0.15748031496063003" header="0.15748031496063003" footer="0.15748031496063003"/>
  <pageSetup paperSize="9" scale="9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4.25" x14ac:dyDescent="0.2"/>
  <cols>
    <col min="1" max="1" width="9.140625" style="1" customWidth="1"/>
    <col min="2" max="2" width="6.140625" style="1" customWidth="1"/>
    <col min="3" max="3" width="43.28515625" style="1" customWidth="1"/>
    <col min="4" max="4" width="46.28515625" style="1" customWidth="1"/>
    <col min="5" max="5" width="14.5703125" style="51" customWidth="1"/>
    <col min="6" max="6" width="14.140625" style="1" customWidth="1"/>
    <col min="7" max="7" width="9.140625" style="1" customWidth="1"/>
    <col min="8" max="16384" width="9.140625" style="1"/>
  </cols>
  <sheetData>
    <row r="1" spans="1:10" customFormat="1" ht="15" x14ac:dyDescent="0.25">
      <c r="A1" s="1" t="s">
        <v>273</v>
      </c>
      <c r="B1" s="1"/>
      <c r="C1" s="1"/>
      <c r="D1" s="1"/>
      <c r="E1" s="51"/>
      <c r="F1" s="288"/>
    </row>
    <row r="2" spans="1:10" customFormat="1" ht="16.5" x14ac:dyDescent="0.25">
      <c r="A2" s="1"/>
      <c r="B2" s="686" t="s">
        <v>274</v>
      </c>
      <c r="C2" s="686"/>
      <c r="D2" s="686"/>
      <c r="E2" s="686"/>
      <c r="F2" s="289" t="s">
        <v>275</v>
      </c>
    </row>
    <row r="3" spans="1:10" customFormat="1" ht="15.75" thickBot="1" x14ac:dyDescent="0.3">
      <c r="A3" s="1"/>
      <c r="B3" s="290"/>
      <c r="C3" s="291"/>
      <c r="D3" s="42"/>
      <c r="E3" s="292"/>
      <c r="F3" s="1"/>
    </row>
    <row r="4" spans="1:10" customFormat="1" ht="24" x14ac:dyDescent="0.25">
      <c r="A4" s="1"/>
      <c r="B4" s="257" t="s">
        <v>222</v>
      </c>
      <c r="C4" s="3" t="s">
        <v>223</v>
      </c>
      <c r="D4" s="3" t="s">
        <v>224</v>
      </c>
      <c r="E4" s="293" t="s">
        <v>225</v>
      </c>
      <c r="F4" s="259" t="s">
        <v>226</v>
      </c>
      <c r="H4" s="195"/>
      <c r="I4" s="195"/>
      <c r="J4" s="195"/>
    </row>
    <row r="5" spans="1:10" s="67" customFormat="1" x14ac:dyDescent="0.2">
      <c r="B5" s="276">
        <v>1</v>
      </c>
      <c r="C5" s="294" t="s">
        <v>276</v>
      </c>
      <c r="D5" s="294" t="s">
        <v>277</v>
      </c>
      <c r="E5" s="295">
        <v>823760</v>
      </c>
      <c r="F5" s="296">
        <v>823760</v>
      </c>
      <c r="H5" s="297"/>
      <c r="I5" s="297"/>
      <c r="J5" s="297"/>
    </row>
    <row r="6" spans="1:10" s="67" customFormat="1" x14ac:dyDescent="0.2">
      <c r="B6" s="276">
        <v>2</v>
      </c>
      <c r="C6" s="294" t="s">
        <v>278</v>
      </c>
      <c r="D6" s="294" t="s">
        <v>279</v>
      </c>
      <c r="E6" s="295">
        <v>535296</v>
      </c>
      <c r="F6" s="296">
        <v>535296</v>
      </c>
      <c r="H6" s="297"/>
      <c r="I6" s="297"/>
      <c r="J6" s="297"/>
    </row>
    <row r="7" spans="1:10" s="67" customFormat="1" ht="25.5" x14ac:dyDescent="0.25">
      <c r="B7" s="276">
        <v>3</v>
      </c>
      <c r="C7" s="298" t="s">
        <v>280</v>
      </c>
      <c r="D7" s="299" t="s">
        <v>281</v>
      </c>
      <c r="E7" s="300">
        <v>70378</v>
      </c>
      <c r="F7" s="301">
        <v>0</v>
      </c>
      <c r="H7" s="297"/>
      <c r="I7" s="297"/>
      <c r="J7" s="297"/>
    </row>
    <row r="8" spans="1:10" s="67" customFormat="1" x14ac:dyDescent="0.2">
      <c r="B8" s="276">
        <v>4</v>
      </c>
      <c r="C8" s="294" t="s">
        <v>282</v>
      </c>
      <c r="D8" s="294" t="s">
        <v>283</v>
      </c>
      <c r="E8" s="295">
        <v>392553.11</v>
      </c>
      <c r="F8" s="296">
        <v>392553.1</v>
      </c>
      <c r="H8" s="297"/>
      <c r="I8" s="297"/>
      <c r="J8" s="297"/>
    </row>
    <row r="9" spans="1:10" s="67" customFormat="1" x14ac:dyDescent="0.2">
      <c r="B9" s="276">
        <v>5</v>
      </c>
      <c r="C9" s="294" t="s">
        <v>282</v>
      </c>
      <c r="D9" s="294" t="s">
        <v>284</v>
      </c>
      <c r="E9" s="295">
        <v>906196.71</v>
      </c>
      <c r="F9" s="296">
        <v>906196.71</v>
      </c>
      <c r="H9" s="302"/>
      <c r="I9" s="302"/>
      <c r="J9" s="297"/>
    </row>
    <row r="10" spans="1:10" s="67" customFormat="1" x14ac:dyDescent="0.2">
      <c r="B10" s="276">
        <v>6</v>
      </c>
      <c r="C10" s="294" t="s">
        <v>285</v>
      </c>
      <c r="D10" s="294" t="s">
        <v>286</v>
      </c>
      <c r="E10" s="295">
        <v>189301.84</v>
      </c>
      <c r="F10" s="296">
        <v>189301.84</v>
      </c>
      <c r="H10" s="302"/>
      <c r="I10" s="302"/>
      <c r="J10" s="297"/>
    </row>
    <row r="11" spans="1:10" s="67" customFormat="1" x14ac:dyDescent="0.2">
      <c r="B11" s="276">
        <v>7</v>
      </c>
      <c r="C11" s="294" t="s">
        <v>285</v>
      </c>
      <c r="D11" s="294" t="s">
        <v>287</v>
      </c>
      <c r="E11" s="295">
        <v>352135.66</v>
      </c>
      <c r="F11" s="296">
        <v>352135.66</v>
      </c>
      <c r="H11" s="302"/>
      <c r="I11" s="302"/>
      <c r="J11" s="297"/>
    </row>
    <row r="12" spans="1:10" s="67" customFormat="1" x14ac:dyDescent="0.2">
      <c r="B12" s="276">
        <v>8</v>
      </c>
      <c r="C12" s="294" t="s">
        <v>288</v>
      </c>
      <c r="D12" s="294" t="s">
        <v>289</v>
      </c>
      <c r="E12" s="295">
        <v>11000</v>
      </c>
      <c r="F12" s="296">
        <v>11000</v>
      </c>
      <c r="H12" s="280"/>
      <c r="I12" s="280"/>
    </row>
    <row r="13" spans="1:10" s="67" customFormat="1" x14ac:dyDescent="0.2">
      <c r="B13" s="276">
        <v>9</v>
      </c>
      <c r="C13" s="294" t="s">
        <v>290</v>
      </c>
      <c r="D13" s="294" t="s">
        <v>291</v>
      </c>
      <c r="E13" s="295">
        <v>10000</v>
      </c>
      <c r="F13" s="296">
        <v>10000</v>
      </c>
      <c r="H13" s="280"/>
      <c r="I13" s="280"/>
    </row>
    <row r="14" spans="1:10" s="67" customFormat="1" x14ac:dyDescent="0.2">
      <c r="B14" s="276">
        <v>10</v>
      </c>
      <c r="C14" s="294" t="s">
        <v>292</v>
      </c>
      <c r="D14" s="294" t="s">
        <v>293</v>
      </c>
      <c r="E14" s="295">
        <v>5353.5</v>
      </c>
      <c r="F14" s="296">
        <v>5353.5</v>
      </c>
      <c r="H14" s="303"/>
      <c r="I14" s="280"/>
    </row>
    <row r="15" spans="1:10" s="67" customFormat="1" ht="21.75" customHeight="1" thickBot="1" x14ac:dyDescent="0.3">
      <c r="B15" s="304" t="s">
        <v>137</v>
      </c>
      <c r="C15" s="305"/>
      <c r="D15" s="305"/>
      <c r="E15" s="69">
        <f>SUM(E5:E14)</f>
        <v>3295974.82</v>
      </c>
      <c r="F15" s="70">
        <f>SUM(F5:F14)</f>
        <v>3225596.81</v>
      </c>
      <c r="H15" s="280"/>
      <c r="I15" s="280"/>
    </row>
    <row r="17" spans="1:8" x14ac:dyDescent="0.2">
      <c r="F17" s="51"/>
    </row>
    <row r="18" spans="1:8" customFormat="1" ht="15" x14ac:dyDescent="0.25">
      <c r="A18" s="1"/>
      <c r="B18" s="1"/>
      <c r="C18" s="1"/>
      <c r="D18" s="1"/>
      <c r="E18" s="306"/>
      <c r="F18" s="1"/>
    </row>
    <row r="20" spans="1:8" customFormat="1" ht="15" x14ac:dyDescent="0.25">
      <c r="A20" s="1"/>
      <c r="B20" s="1"/>
      <c r="C20" s="307"/>
      <c r="D20" s="1"/>
      <c r="E20" s="51"/>
      <c r="F20" s="1"/>
    </row>
    <row r="31" spans="1:8" customFormat="1" ht="15" x14ac:dyDescent="0.25">
      <c r="E31" s="51"/>
      <c r="F31" s="1"/>
      <c r="G31" s="1"/>
      <c r="H31" s="684"/>
    </row>
    <row r="32" spans="1:8" customFormat="1" ht="15" x14ac:dyDescent="0.25">
      <c r="E32" s="51"/>
      <c r="F32" s="1"/>
      <c r="G32" s="1"/>
      <c r="H32" s="684"/>
    </row>
    <row r="33" spans="5:8" customFormat="1" ht="15" x14ac:dyDescent="0.25">
      <c r="E33" s="51"/>
      <c r="F33" s="1"/>
      <c r="G33" s="1"/>
      <c r="H33" s="684"/>
    </row>
  </sheetData>
  <mergeCells count="2">
    <mergeCell ref="B2:E2"/>
    <mergeCell ref="H31:H33"/>
  </mergeCells>
  <pageMargins left="0.62992125984252012" right="0.62992125984252012" top="0.74803149606299213" bottom="0.74803149606299213" header="0.31496062992126012" footer="0.31496062992126012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workbookViewId="0"/>
  </sheetViews>
  <sheetFormatPr defaultColWidth="17.42578125" defaultRowHeight="14.25" x14ac:dyDescent="0.2"/>
  <cols>
    <col min="1" max="1" width="17.42578125" style="1" customWidth="1"/>
    <col min="2" max="2" width="6.7109375" style="1" customWidth="1"/>
    <col min="3" max="3" width="38.85546875" style="1" customWidth="1"/>
    <col min="4" max="4" width="14.85546875" style="1" bestFit="1" customWidth="1"/>
    <col min="5" max="5" width="17.42578125" style="1" customWidth="1"/>
    <col min="6" max="16384" width="17.42578125" style="1"/>
  </cols>
  <sheetData>
    <row r="1" spans="2:5" x14ac:dyDescent="0.2">
      <c r="B1" s="308"/>
      <c r="C1" s="308"/>
      <c r="D1" s="308"/>
      <c r="E1" s="308"/>
    </row>
    <row r="2" spans="2:5" x14ac:dyDescent="0.2">
      <c r="B2" s="308"/>
      <c r="C2" s="308"/>
      <c r="D2" s="308"/>
      <c r="E2" s="308"/>
    </row>
    <row r="3" spans="2:5" x14ac:dyDescent="0.2">
      <c r="B3" s="309"/>
      <c r="C3" s="308"/>
      <c r="D3" s="310" t="s">
        <v>294</v>
      </c>
      <c r="E3" s="308"/>
    </row>
    <row r="4" spans="2:5" x14ac:dyDescent="0.2">
      <c r="B4" s="309"/>
      <c r="C4" s="308"/>
      <c r="D4" s="308"/>
      <c r="E4" s="308"/>
    </row>
    <row r="5" spans="2:5" ht="32.25" customHeight="1" x14ac:dyDescent="0.2">
      <c r="B5" s="687" t="s">
        <v>295</v>
      </c>
      <c r="C5" s="687"/>
      <c r="D5" s="687"/>
      <c r="E5" s="308"/>
    </row>
    <row r="6" spans="2:5" x14ac:dyDescent="0.2">
      <c r="B6" s="309"/>
      <c r="C6" s="308"/>
      <c r="D6" s="308"/>
      <c r="E6" s="308"/>
    </row>
    <row r="7" spans="2:5" ht="29.25" customHeight="1" x14ac:dyDescent="0.2">
      <c r="B7" s="311" t="s">
        <v>222</v>
      </c>
      <c r="C7" s="312" t="s">
        <v>296</v>
      </c>
      <c r="D7" s="313" t="s">
        <v>297</v>
      </c>
      <c r="E7" s="314"/>
    </row>
    <row r="8" spans="2:5" s="67" customFormat="1" x14ac:dyDescent="0.2">
      <c r="B8" s="315">
        <v>1</v>
      </c>
      <c r="C8" s="316" t="s">
        <v>298</v>
      </c>
      <c r="D8" s="317">
        <v>989</v>
      </c>
      <c r="E8" s="318"/>
    </row>
    <row r="9" spans="2:5" s="67" customFormat="1" x14ac:dyDescent="0.2">
      <c r="B9" s="315">
        <v>2</v>
      </c>
      <c r="C9" s="316" t="s">
        <v>299</v>
      </c>
      <c r="D9" s="317">
        <v>1701</v>
      </c>
      <c r="E9" s="318"/>
    </row>
    <row r="10" spans="2:5" s="67" customFormat="1" x14ac:dyDescent="0.2">
      <c r="B10" s="315">
        <v>3</v>
      </c>
      <c r="C10" s="316" t="s">
        <v>300</v>
      </c>
      <c r="D10" s="317">
        <v>1185</v>
      </c>
      <c r="E10" s="318"/>
    </row>
    <row r="11" spans="2:5" s="67" customFormat="1" x14ac:dyDescent="0.2">
      <c r="B11" s="315">
        <v>4</v>
      </c>
      <c r="C11" s="316" t="s">
        <v>301</v>
      </c>
      <c r="D11" s="317">
        <v>1785</v>
      </c>
      <c r="E11" s="318"/>
    </row>
    <row r="12" spans="2:5" s="67" customFormat="1" x14ac:dyDescent="0.2">
      <c r="B12" s="315">
        <v>5</v>
      </c>
      <c r="C12" s="316" t="s">
        <v>302</v>
      </c>
      <c r="D12" s="317">
        <v>2186</v>
      </c>
      <c r="E12" s="318"/>
    </row>
    <row r="13" spans="2:5" s="67" customFormat="1" x14ac:dyDescent="0.2">
      <c r="B13" s="315">
        <v>6</v>
      </c>
      <c r="C13" s="316" t="s">
        <v>303</v>
      </c>
      <c r="D13" s="317">
        <v>2648</v>
      </c>
      <c r="E13" s="318"/>
    </row>
    <row r="14" spans="2:5" s="67" customFormat="1" x14ac:dyDescent="0.2">
      <c r="B14" s="315">
        <v>7</v>
      </c>
      <c r="C14" s="316" t="s">
        <v>304</v>
      </c>
      <c r="D14" s="317">
        <v>1394</v>
      </c>
      <c r="E14" s="318"/>
    </row>
    <row r="15" spans="2:5" s="67" customFormat="1" x14ac:dyDescent="0.2">
      <c r="B15" s="315">
        <v>8</v>
      </c>
      <c r="C15" s="316" t="s">
        <v>305</v>
      </c>
      <c r="D15" s="317">
        <v>1940</v>
      </c>
      <c r="E15" s="318"/>
    </row>
    <row r="16" spans="2:5" s="67" customFormat="1" x14ac:dyDescent="0.2">
      <c r="B16" s="315">
        <v>9</v>
      </c>
      <c r="C16" s="316" t="s">
        <v>306</v>
      </c>
      <c r="D16" s="317">
        <v>2100</v>
      </c>
      <c r="E16" s="318"/>
    </row>
    <row r="17" spans="2:6" s="67" customFormat="1" x14ac:dyDescent="0.2">
      <c r="B17" s="315">
        <v>10</v>
      </c>
      <c r="C17" s="316" t="s">
        <v>307</v>
      </c>
      <c r="D17" s="317">
        <v>2424</v>
      </c>
    </row>
    <row r="18" spans="2:6" s="67" customFormat="1" x14ac:dyDescent="0.2">
      <c r="B18" s="315">
        <v>11</v>
      </c>
      <c r="C18" s="316" t="s">
        <v>308</v>
      </c>
      <c r="D18" s="317">
        <v>2766</v>
      </c>
      <c r="F18" s="280"/>
    </row>
    <row r="19" spans="2:6" s="67" customFormat="1" x14ac:dyDescent="0.2">
      <c r="B19" s="315">
        <v>12</v>
      </c>
      <c r="C19" s="316" t="s">
        <v>309</v>
      </c>
      <c r="D19" s="317">
        <v>916</v>
      </c>
    </row>
    <row r="20" spans="2:6" s="67" customFormat="1" x14ac:dyDescent="0.2">
      <c r="B20" s="315">
        <v>13</v>
      </c>
      <c r="C20" s="316" t="s">
        <v>310</v>
      </c>
      <c r="D20" s="317">
        <v>1843</v>
      </c>
    </row>
    <row r="21" spans="2:6" s="67" customFormat="1" x14ac:dyDescent="0.2">
      <c r="B21" s="315">
        <v>14</v>
      </c>
      <c r="C21" s="316" t="s">
        <v>311</v>
      </c>
      <c r="D21" s="317">
        <v>2389</v>
      </c>
    </row>
    <row r="22" spans="2:6" s="67" customFormat="1" x14ac:dyDescent="0.2">
      <c r="B22" s="315">
        <v>15</v>
      </c>
      <c r="C22" s="316" t="s">
        <v>312</v>
      </c>
      <c r="D22" s="319">
        <v>1640</v>
      </c>
    </row>
    <row r="23" spans="2:6" s="67" customFormat="1" x14ac:dyDescent="0.2">
      <c r="B23" s="315">
        <v>16</v>
      </c>
      <c r="C23" s="316" t="s">
        <v>313</v>
      </c>
      <c r="D23" s="317">
        <v>1348</v>
      </c>
    </row>
    <row r="24" spans="2:6" s="67" customFormat="1" x14ac:dyDescent="0.2">
      <c r="B24" s="315">
        <v>17</v>
      </c>
      <c r="C24" s="316" t="s">
        <v>314</v>
      </c>
      <c r="D24" s="317">
        <v>2000</v>
      </c>
    </row>
    <row r="25" spans="2:6" s="67" customFormat="1" x14ac:dyDescent="0.2">
      <c r="B25" s="315">
        <v>18</v>
      </c>
      <c r="C25" s="316" t="s">
        <v>315</v>
      </c>
      <c r="D25" s="317">
        <v>573</v>
      </c>
    </row>
    <row r="26" spans="2:6" s="67" customFormat="1" x14ac:dyDescent="0.2">
      <c r="B26" s="315">
        <v>19</v>
      </c>
      <c r="C26" s="316" t="s">
        <v>316</v>
      </c>
      <c r="D26" s="317">
        <v>2400</v>
      </c>
    </row>
    <row r="27" spans="2:6" s="67" customFormat="1" x14ac:dyDescent="0.2">
      <c r="B27" s="315">
        <v>20</v>
      </c>
      <c r="C27" s="316" t="s">
        <v>317</v>
      </c>
      <c r="D27" s="317">
        <v>806</v>
      </c>
    </row>
    <row r="28" spans="2:6" s="67" customFormat="1" x14ac:dyDescent="0.2">
      <c r="B28" s="315">
        <v>21</v>
      </c>
      <c r="C28" s="316" t="s">
        <v>318</v>
      </c>
      <c r="D28" s="317">
        <v>1358</v>
      </c>
    </row>
    <row r="29" spans="2:6" s="67" customFormat="1" x14ac:dyDescent="0.2">
      <c r="B29" s="315">
        <v>22</v>
      </c>
      <c r="C29" s="316" t="s">
        <v>319</v>
      </c>
      <c r="D29" s="319">
        <v>789</v>
      </c>
    </row>
    <row r="30" spans="2:6" s="67" customFormat="1" x14ac:dyDescent="0.2">
      <c r="B30" s="315">
        <v>23</v>
      </c>
      <c r="C30" s="316" t="s">
        <v>320</v>
      </c>
      <c r="D30" s="317">
        <v>819</v>
      </c>
    </row>
    <row r="31" spans="2:6" s="67" customFormat="1" x14ac:dyDescent="0.2">
      <c r="B31" s="315">
        <v>24</v>
      </c>
      <c r="C31" s="316" t="s">
        <v>321</v>
      </c>
      <c r="D31" s="317">
        <v>2111</v>
      </c>
    </row>
    <row r="32" spans="2:6" x14ac:dyDescent="0.2">
      <c r="B32" s="315">
        <v>25</v>
      </c>
      <c r="C32" s="316" t="s">
        <v>322</v>
      </c>
      <c r="D32" s="317">
        <v>1457</v>
      </c>
    </row>
    <row r="33" spans="2:5" x14ac:dyDescent="0.2">
      <c r="B33" s="315">
        <v>26</v>
      </c>
      <c r="C33" s="316" t="s">
        <v>323</v>
      </c>
      <c r="D33" s="317">
        <v>1571</v>
      </c>
      <c r="E33" s="318"/>
    </row>
    <row r="34" spans="2:5" ht="15" customHeight="1" x14ac:dyDescent="0.2">
      <c r="B34" s="315">
        <v>27</v>
      </c>
      <c r="C34" s="316" t="s">
        <v>324</v>
      </c>
      <c r="D34" s="317">
        <v>658</v>
      </c>
      <c r="E34" s="318"/>
    </row>
    <row r="35" spans="2:5" ht="18" customHeight="1" x14ac:dyDescent="0.2">
      <c r="B35" s="315">
        <v>28</v>
      </c>
      <c r="C35" s="316" t="s">
        <v>325</v>
      </c>
      <c r="D35" s="317">
        <v>253</v>
      </c>
      <c r="E35" s="318"/>
    </row>
    <row r="36" spans="2:5" x14ac:dyDescent="0.2">
      <c r="B36" s="315">
        <v>29</v>
      </c>
      <c r="C36" s="316" t="s">
        <v>326</v>
      </c>
      <c r="D36" s="317">
        <v>380</v>
      </c>
      <c r="E36" s="318"/>
    </row>
    <row r="37" spans="2:5" x14ac:dyDescent="0.2">
      <c r="B37" s="315">
        <v>30</v>
      </c>
      <c r="C37" s="316" t="s">
        <v>327</v>
      </c>
      <c r="D37" s="317">
        <v>497</v>
      </c>
      <c r="E37" s="318"/>
    </row>
    <row r="38" spans="2:5" x14ac:dyDescent="0.2">
      <c r="B38" s="315">
        <v>31</v>
      </c>
      <c r="C38" s="316" t="s">
        <v>328</v>
      </c>
      <c r="D38" s="317">
        <v>835</v>
      </c>
      <c r="E38" s="318"/>
    </row>
    <row r="39" spans="2:5" x14ac:dyDescent="0.2">
      <c r="B39" s="315">
        <v>32</v>
      </c>
      <c r="C39" s="316" t="s">
        <v>329</v>
      </c>
      <c r="D39" s="317">
        <v>1837</v>
      </c>
      <c r="E39" s="308"/>
    </row>
    <row r="40" spans="2:5" x14ac:dyDescent="0.2">
      <c r="B40" s="315">
        <v>33</v>
      </c>
      <c r="C40" s="316" t="s">
        <v>330</v>
      </c>
      <c r="D40" s="317">
        <v>1802</v>
      </c>
      <c r="E40" s="308"/>
    </row>
    <row r="41" spans="2:5" x14ac:dyDescent="0.2">
      <c r="B41" s="315">
        <v>34</v>
      </c>
      <c r="C41" s="316" t="s">
        <v>331</v>
      </c>
      <c r="D41" s="317">
        <v>600</v>
      </c>
      <c r="E41" s="308"/>
    </row>
    <row r="42" spans="2:5" ht="15.75" x14ac:dyDescent="0.2">
      <c r="B42" s="320"/>
      <c r="C42" s="321" t="s">
        <v>10</v>
      </c>
      <c r="D42" s="322">
        <v>50000</v>
      </c>
      <c r="E42" s="308"/>
    </row>
    <row r="44" spans="2:5" x14ac:dyDescent="0.2">
      <c r="B44" s="308"/>
      <c r="C44" s="308"/>
      <c r="D44" s="308"/>
      <c r="E44" s="308"/>
    </row>
    <row r="45" spans="2:5" ht="18" x14ac:dyDescent="0.2">
      <c r="B45" s="308"/>
      <c r="C45" s="323"/>
      <c r="D45" s="308"/>
      <c r="E45" s="308"/>
    </row>
  </sheetData>
  <mergeCells count="1">
    <mergeCell ref="B5:D5"/>
  </mergeCells>
  <pageMargins left="0.90551181102362199" right="0.82677165354330728" top="0.74803149606299213" bottom="0.74803149606299213" header="0.31496062992126012" footer="0.31496062992126012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25</vt:i4>
      </vt:variant>
      <vt:variant>
        <vt:lpstr>Pomenované rozsahy</vt:lpstr>
      </vt:variant>
      <vt:variant>
        <vt:i4>24</vt:i4>
      </vt:variant>
    </vt:vector>
  </HeadingPairs>
  <TitlesOfParts>
    <vt:vector size="49" baseType="lpstr">
      <vt:lpstr>Súvahy</vt:lpstr>
      <vt:lpstr>MHSL</vt:lpstr>
      <vt:lpstr>SSMT</vt:lpstr>
      <vt:lpstr>ŠZMT</vt:lpstr>
      <vt:lpstr>Materské_školy</vt:lpstr>
      <vt:lpstr>Základné_školy</vt:lpstr>
      <vt:lpstr>Bežné_dotácie</vt:lpstr>
      <vt:lpstr>Kapitálové_dotácie</vt:lpstr>
      <vt:lpstr>Dotácie_na_šport_1</vt:lpstr>
      <vt:lpstr>Dotácie_na_šport_2</vt:lpstr>
      <vt:lpstr>Dotácie_kultúra</vt:lpstr>
      <vt:lpstr>Dotácie_v_soc_oblasti</vt:lpstr>
      <vt:lpstr>Dotácie_v_oblasti_školstva</vt:lpstr>
      <vt:lpstr>Dotácie_v_oblasti_ŽP</vt:lpstr>
      <vt:lpstr>Pohľadávky</vt:lpstr>
      <vt:lpstr>Prehľad_dlhu</vt:lpstr>
      <vt:lpstr>Vývoj_dlhovej_služby</vt:lpstr>
      <vt:lpstr>BV-funkčná_kl_</vt:lpstr>
      <vt:lpstr>KV-funkčná_kl_</vt:lpstr>
      <vt:lpstr>Výdavky_ek_kl_</vt:lpstr>
      <vt:lpstr>FO_podľa_RK</vt:lpstr>
      <vt:lpstr>Počet_zamest_ZŠ</vt:lpstr>
      <vt:lpstr>Počet_žiakov_a_tried</vt:lpstr>
      <vt:lpstr>Zoznam_org_</vt:lpstr>
      <vt:lpstr>ESA</vt:lpstr>
      <vt:lpstr>Bežné_dotácie!Oblasť_tlače</vt:lpstr>
      <vt:lpstr>'BV-funkčná_kl_'!Oblasť_tlače</vt:lpstr>
      <vt:lpstr>Dotácie_kultúra!Oblasť_tlače</vt:lpstr>
      <vt:lpstr>Dotácie_na_šport_1!Oblasť_tlače</vt:lpstr>
      <vt:lpstr>Dotácie_na_šport_2!Oblasť_tlače</vt:lpstr>
      <vt:lpstr>Dotácie_v_oblasti_školstva!Oblasť_tlače</vt:lpstr>
      <vt:lpstr>Dotácie_v_oblasti_ŽP!Oblasť_tlače</vt:lpstr>
      <vt:lpstr>Dotácie_v_soc_oblasti!Oblasť_tlače</vt:lpstr>
      <vt:lpstr>FO_podľa_RK!Oblasť_tlače</vt:lpstr>
      <vt:lpstr>Kapitálové_dotácie!Oblasť_tlače</vt:lpstr>
      <vt:lpstr>'KV-funkčná_kl_'!Oblasť_tlače</vt:lpstr>
      <vt:lpstr>Materské_školy!Oblasť_tlače</vt:lpstr>
      <vt:lpstr>MHSL!Oblasť_tlače</vt:lpstr>
      <vt:lpstr>Počet_zamest_ZŠ!Oblasť_tlače</vt:lpstr>
      <vt:lpstr>Počet_žiakov_a_tried!Oblasť_tlače</vt:lpstr>
      <vt:lpstr>Pohľadávky!Oblasť_tlače</vt:lpstr>
      <vt:lpstr>Prehľad_dlhu!Oblasť_tlače</vt:lpstr>
      <vt:lpstr>SSMT!Oblasť_tlače</vt:lpstr>
      <vt:lpstr>Súvahy!Oblasť_tlače</vt:lpstr>
      <vt:lpstr>ŠZMT!Oblasť_tlače</vt:lpstr>
      <vt:lpstr>Výdavky_ek_kl_!Oblasť_tlače</vt:lpstr>
      <vt:lpstr>Vývoj_dlhovej_služby!Oblasť_tlače</vt:lpstr>
      <vt:lpstr>Základné_školy!Oblasť_tlače</vt:lpstr>
      <vt:lpstr>Zoznam_org_!Oblasť_tlače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Ing. Andrea Prnová Žilková</cp:lastModifiedBy>
  <cp:lastPrinted>2019-05-09T07:39:37Z</cp:lastPrinted>
  <dcterms:created xsi:type="dcterms:W3CDTF">2012-02-23T12:08:44Z</dcterms:created>
  <dcterms:modified xsi:type="dcterms:W3CDTF">2019-05-13T08:20:17Z</dcterms:modified>
</cp:coreProperties>
</file>